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0" yWindow="0" windowWidth="12615" windowHeight="12450" activeTab="1"/>
  </bookViews>
  <sheets>
    <sheet name="Analyse" sheetId="11" r:id="rId1"/>
    <sheet name="Arbeitslisten" sheetId="12" r:id="rId2"/>
  </sheets>
  <definedNames>
    <definedName name="Brennstofftyp">Arbeitslisten!$G$35:$G$42</definedName>
    <definedName name="Haustyp">Arbeitslisten!$B$35:$B$39</definedName>
  </definedNames>
  <calcPr calcId="125725"/>
</workbook>
</file>

<file path=xl/calcChain.xml><?xml version="1.0" encoding="utf-8"?>
<calcChain xmlns="http://schemas.openxmlformats.org/spreadsheetml/2006/main">
  <c r="G48" i="12"/>
  <c r="G49"/>
  <c r="G50"/>
  <c r="G51"/>
  <c r="G52"/>
  <c r="G53"/>
  <c r="G54"/>
  <c r="G55"/>
  <c r="G56"/>
  <c r="G57"/>
  <c r="G58"/>
  <c r="G59"/>
  <c r="G60"/>
  <c r="G61"/>
  <c r="G62"/>
  <c r="G63"/>
  <c r="G64"/>
  <c r="G65"/>
  <c r="G66"/>
  <c r="G67"/>
  <c r="G68"/>
  <c r="G69"/>
  <c r="G70"/>
  <c r="G71"/>
  <c r="G47"/>
  <c r="D70" i="11"/>
  <c r="E70"/>
  <c r="D48" i="12"/>
  <c r="D49"/>
  <c r="D50"/>
  <c r="D51"/>
  <c r="D52"/>
  <c r="D53"/>
  <c r="D54"/>
  <c r="D55"/>
  <c r="D56"/>
  <c r="D57"/>
  <c r="D58"/>
  <c r="D59"/>
  <c r="D60"/>
  <c r="D61"/>
  <c r="D62"/>
  <c r="D63"/>
  <c r="D64"/>
  <c r="D65"/>
  <c r="D66"/>
  <c r="D67"/>
  <c r="D68"/>
  <c r="D69"/>
  <c r="D70"/>
  <c r="D71"/>
  <c r="D47"/>
  <c r="H28" l="1"/>
  <c r="H27"/>
  <c r="I27" s="1"/>
  <c r="H26"/>
  <c r="H25"/>
  <c r="I25" s="1"/>
  <c r="H24"/>
  <c r="H23"/>
  <c r="I23" s="1"/>
  <c r="H22"/>
  <c r="I28"/>
  <c r="I26"/>
  <c r="I24"/>
  <c r="I22"/>
  <c r="H66" l="1"/>
  <c r="H67"/>
  <c r="H68"/>
  <c r="H69"/>
  <c r="H70"/>
  <c r="H71"/>
  <c r="H65"/>
  <c r="E72" l="1"/>
  <c r="F27" l="1"/>
  <c r="I70"/>
  <c r="F25"/>
  <c r="I68"/>
  <c r="F23"/>
  <c r="I66"/>
  <c r="F28"/>
  <c r="I71"/>
  <c r="F26"/>
  <c r="I69"/>
  <c r="F24"/>
  <c r="I67"/>
  <c r="F22"/>
  <c r="I65"/>
  <c r="J27"/>
  <c r="J25"/>
  <c r="J23"/>
  <c r="J28"/>
  <c r="J26"/>
  <c r="J24"/>
  <c r="J22"/>
  <c r="K28" l="1"/>
  <c r="D28"/>
  <c r="E28" s="1"/>
  <c r="K27"/>
  <c r="D27"/>
  <c r="E27" s="1"/>
  <c r="K26"/>
  <c r="D26"/>
  <c r="E26" s="1"/>
  <c r="K25"/>
  <c r="D25"/>
  <c r="E25" s="1"/>
  <c r="K24"/>
  <c r="D24"/>
  <c r="E24" s="1"/>
  <c r="K23"/>
  <c r="D23"/>
  <c r="E23" s="1"/>
  <c r="K22"/>
  <c r="D22"/>
  <c r="E22" s="1"/>
  <c r="C70" i="11" l="1"/>
  <c r="D31" i="12" l="1"/>
  <c r="D29" i="11"/>
  <c r="D27"/>
  <c r="D25"/>
  <c r="C13" l="1"/>
  <c r="E13" s="1" a="1"/>
  <c r="E13" s="1"/>
  <c r="C12"/>
  <c r="C11"/>
  <c r="E11" s="1" a="1"/>
  <c r="E11" s="1"/>
  <c r="C10"/>
  <c r="C9"/>
  <c r="C8"/>
  <c r="C7"/>
  <c r="E7" s="1" a="1"/>
  <c r="E7" s="1"/>
  <c r="C6"/>
  <c r="E6" s="1" a="1"/>
  <c r="E6" s="1"/>
  <c r="E9" a="1"/>
  <c r="E9" s="1"/>
  <c r="E12" a="1"/>
  <c r="E12" s="1"/>
  <c r="E10" a="1"/>
  <c r="E10" s="1"/>
  <c r="E8" a="1"/>
  <c r="E8" s="1"/>
  <c r="E27" a="1"/>
  <c r="E27" s="1"/>
  <c r="E25" a="1"/>
  <c r="E25" s="1"/>
  <c r="E29" a="1"/>
  <c r="E29" s="1"/>
  <c r="E30" l="1"/>
  <c r="E14"/>
  <c r="E17" s="1"/>
  <c r="E32" l="1"/>
  <c r="I47" i="12" l="1"/>
  <c r="B4"/>
  <c r="D4" s="1"/>
  <c r="B31"/>
  <c r="I61" l="1"/>
  <c r="I57"/>
  <c r="I63"/>
  <c r="I52"/>
  <c r="I54"/>
  <c r="I62"/>
  <c r="I53"/>
  <c r="I64"/>
  <c r="I56"/>
  <c r="I59"/>
  <c r="I55"/>
  <c r="I58"/>
  <c r="I48"/>
  <c r="I50"/>
  <c r="I51"/>
  <c r="I49"/>
  <c r="I60"/>
  <c r="H4"/>
  <c r="I4" s="1"/>
  <c r="H47"/>
  <c r="F4"/>
  <c r="J4" s="1"/>
  <c r="K4" s="1"/>
  <c r="L166" i="11"/>
  <c r="L168" s="1"/>
  <c r="J166"/>
  <c r="J168" s="1"/>
  <c r="K166"/>
  <c r="K168" s="1"/>
  <c r="D72" i="12"/>
  <c r="I166" i="11"/>
  <c r="I168" s="1"/>
  <c r="E166"/>
  <c r="E168" s="1"/>
  <c r="F166"/>
  <c r="F168" s="1"/>
  <c r="G166"/>
  <c r="G168" s="1"/>
  <c r="C166"/>
  <c r="C168" s="1"/>
  <c r="H166"/>
  <c r="H168" s="1"/>
  <c r="D166"/>
  <c r="D168" s="1"/>
  <c r="B5" i="12"/>
  <c r="B18"/>
  <c r="C18" s="1"/>
  <c r="B7"/>
  <c r="B15"/>
  <c r="B21"/>
  <c r="B13"/>
  <c r="B26"/>
  <c r="C26" s="1"/>
  <c r="B22"/>
  <c r="C22" s="1"/>
  <c r="B25"/>
  <c r="C25" s="1"/>
  <c r="B6"/>
  <c r="D6" s="1"/>
  <c r="E6" s="1"/>
  <c r="B11"/>
  <c r="B17"/>
  <c r="B8"/>
  <c r="B10"/>
  <c r="B14"/>
  <c r="B20"/>
  <c r="B12"/>
  <c r="B16"/>
  <c r="B19"/>
  <c r="B9"/>
  <c r="B28"/>
  <c r="C28" s="1"/>
  <c r="B24"/>
  <c r="C24" s="1"/>
  <c r="B27"/>
  <c r="C27" s="1"/>
  <c r="B23"/>
  <c r="C23" s="1"/>
  <c r="H170" i="11"/>
  <c r="H172" s="1"/>
  <c r="L170"/>
  <c r="L172" s="1"/>
  <c r="D170"/>
  <c r="D172" s="1"/>
  <c r="G170"/>
  <c r="G172" s="1"/>
  <c r="I170"/>
  <c r="I172" s="1"/>
  <c r="K170"/>
  <c r="K172" s="1"/>
  <c r="C170"/>
  <c r="C172" s="1"/>
  <c r="F170"/>
  <c r="F172" s="1"/>
  <c r="J170"/>
  <c r="J172" s="1"/>
  <c r="E170"/>
  <c r="E172" s="1"/>
  <c r="D5" i="12"/>
  <c r="E5" s="1"/>
  <c r="C5"/>
  <c r="C4"/>
  <c r="E4"/>
  <c r="D18"/>
  <c r="E18" s="1"/>
  <c r="D7"/>
  <c r="E7" s="1"/>
  <c r="C7"/>
  <c r="D15"/>
  <c r="E15" s="1"/>
  <c r="C15"/>
  <c r="D21"/>
  <c r="E21" s="1"/>
  <c r="C21"/>
  <c r="D13"/>
  <c r="E13" s="1"/>
  <c r="C13"/>
  <c r="D11"/>
  <c r="E11" s="1"/>
  <c r="C11"/>
  <c r="D17"/>
  <c r="E17" s="1"/>
  <c r="C17"/>
  <c r="D8"/>
  <c r="E8" s="1"/>
  <c r="C8"/>
  <c r="D10"/>
  <c r="E10" s="1"/>
  <c r="C10"/>
  <c r="D14"/>
  <c r="E14" s="1"/>
  <c r="C14"/>
  <c r="D20"/>
  <c r="E20" s="1"/>
  <c r="C20"/>
  <c r="D12"/>
  <c r="E12" s="1"/>
  <c r="C12"/>
  <c r="D16"/>
  <c r="E16" s="1"/>
  <c r="C16"/>
  <c r="D19"/>
  <c r="E19" s="1"/>
  <c r="C19"/>
  <c r="D9"/>
  <c r="E9" s="1"/>
  <c r="C9"/>
  <c r="C49" l="1"/>
  <c r="C51"/>
  <c r="C53"/>
  <c r="C55"/>
  <c r="C57"/>
  <c r="C59"/>
  <c r="C61"/>
  <c r="C63"/>
  <c r="C65"/>
  <c r="C67"/>
  <c r="C69"/>
  <c r="C71"/>
  <c r="C48"/>
  <c r="C50"/>
  <c r="C52"/>
  <c r="C54"/>
  <c r="C56"/>
  <c r="C58"/>
  <c r="C60"/>
  <c r="C62"/>
  <c r="C64"/>
  <c r="C66"/>
  <c r="C68"/>
  <c r="C70"/>
  <c r="C47"/>
  <c r="C6"/>
  <c r="C72"/>
  <c r="G72"/>
  <c r="I72" s="1"/>
  <c r="H17"/>
  <c r="I17" s="1"/>
  <c r="H60"/>
  <c r="F17"/>
  <c r="H6"/>
  <c r="I6" s="1"/>
  <c r="H49"/>
  <c r="F6"/>
  <c r="J6" s="1"/>
  <c r="K6" s="1"/>
  <c r="H8"/>
  <c r="I8" s="1"/>
  <c r="H51"/>
  <c r="F8"/>
  <c r="J8" s="1"/>
  <c r="K8" s="1"/>
  <c r="H7"/>
  <c r="I7" s="1"/>
  <c r="H50"/>
  <c r="F7"/>
  <c r="H5"/>
  <c r="I5" s="1"/>
  <c r="H48"/>
  <c r="F5"/>
  <c r="H58"/>
  <c r="H15"/>
  <c r="I15" s="1"/>
  <c r="F15"/>
  <c r="J15" s="1"/>
  <c r="K15" s="1"/>
  <c r="H55"/>
  <c r="H12"/>
  <c r="I12" s="1"/>
  <c r="F12"/>
  <c r="J12" s="1"/>
  <c r="K12" s="1"/>
  <c r="H16"/>
  <c r="I16" s="1"/>
  <c r="H59"/>
  <c r="F16"/>
  <c r="H13"/>
  <c r="I13" s="1"/>
  <c r="H56"/>
  <c r="F13"/>
  <c r="J13" s="1"/>
  <c r="K13" s="1"/>
  <c r="H21"/>
  <c r="I21" s="1"/>
  <c r="H64"/>
  <c r="F21"/>
  <c r="H10"/>
  <c r="I10" s="1"/>
  <c r="H53"/>
  <c r="F10"/>
  <c r="H19"/>
  <c r="I19" s="1"/>
  <c r="H62"/>
  <c r="F19"/>
  <c r="J19" s="1"/>
  <c r="K19" s="1"/>
  <c r="H54"/>
  <c r="H11"/>
  <c r="I11" s="1"/>
  <c r="F11"/>
  <c r="J11" s="1"/>
  <c r="K11" s="1"/>
  <c r="H9"/>
  <c r="I9" s="1"/>
  <c r="H52"/>
  <c r="F9"/>
  <c r="H20"/>
  <c r="I20" s="1"/>
  <c r="H63"/>
  <c r="F20"/>
  <c r="J20" s="1"/>
  <c r="K20" s="1"/>
  <c r="H57"/>
  <c r="H14"/>
  <c r="I14" s="1"/>
  <c r="F14"/>
  <c r="J14" s="1"/>
  <c r="K14" s="1"/>
  <c r="H18"/>
  <c r="I18" s="1"/>
  <c r="H61"/>
  <c r="F18"/>
  <c r="J18" s="1"/>
  <c r="K18" s="1"/>
  <c r="J9"/>
  <c r="K9" s="1"/>
  <c r="J16"/>
  <c r="K16" s="1"/>
  <c r="J10"/>
  <c r="K10" s="1"/>
  <c r="J17"/>
  <c r="K17" s="1"/>
  <c r="J21"/>
  <c r="K21" s="1"/>
  <c r="J7"/>
  <c r="K7" s="1"/>
  <c r="J5"/>
  <c r="K5" s="1"/>
  <c r="F31" l="1"/>
  <c r="J31" l="1"/>
  <c r="J178" i="11" s="1"/>
  <c r="J180" s="1"/>
  <c r="H31" i="12"/>
  <c r="D174" i="11" s="1"/>
  <c r="D176" s="1"/>
  <c r="E174"/>
  <c r="E176" s="1"/>
  <c r="G178"/>
  <c r="G180" s="1"/>
  <c r="K178"/>
  <c r="K180" s="1"/>
  <c r="F178"/>
  <c r="F180" s="1"/>
  <c r="C178"/>
  <c r="C180" s="1"/>
  <c r="L178"/>
  <c r="L180" s="1"/>
  <c r="I178"/>
  <c r="I180" s="1"/>
  <c r="D178"/>
  <c r="D180" s="1"/>
  <c r="H178"/>
  <c r="H180" s="1"/>
  <c r="E178"/>
  <c r="E180" s="1"/>
  <c r="F174" l="1"/>
  <c r="F176" s="1"/>
  <c r="G174"/>
  <c r="G176" s="1"/>
  <c r="J174"/>
  <c r="J176" s="1"/>
  <c r="K174"/>
  <c r="K176" s="1"/>
  <c r="L174"/>
  <c r="L176" s="1"/>
  <c r="I174"/>
  <c r="I176" s="1"/>
  <c r="C174"/>
  <c r="C176" s="1"/>
  <c r="H174"/>
  <c r="H176" s="1"/>
</calcChain>
</file>

<file path=xl/comments1.xml><?xml version="1.0" encoding="utf-8"?>
<comments xmlns="http://schemas.openxmlformats.org/spreadsheetml/2006/main">
  <authors>
    <author>MNRPraktikant</author>
  </authors>
  <commentList>
    <comment ref="F46" authorId="0">
      <text>
        <r>
          <rPr>
            <b/>
            <sz val="8"/>
            <color indexed="81"/>
            <rFont val="Tahoma"/>
            <family val="2"/>
          </rPr>
          <t>MNRPraktikant:</t>
        </r>
        <r>
          <rPr>
            <sz val="8"/>
            <color indexed="81"/>
            <rFont val="Tahoma"/>
            <family val="2"/>
          </rPr>
          <t xml:space="preserve">
auch = D:N*1000</t>
        </r>
      </text>
    </comment>
  </commentList>
</comments>
</file>

<file path=xl/sharedStrings.xml><?xml version="1.0" encoding="utf-8"?>
<sst xmlns="http://schemas.openxmlformats.org/spreadsheetml/2006/main" count="245" uniqueCount="154">
  <si>
    <t>GH 1</t>
  </si>
  <si>
    <t>GH 2</t>
  </si>
  <si>
    <t>GH 3</t>
  </si>
  <si>
    <t>GH 4</t>
  </si>
  <si>
    <t>GH 5</t>
  </si>
  <si>
    <t>GH 6</t>
  </si>
  <si>
    <t>GH 7</t>
  </si>
  <si>
    <t>GH 8</t>
  </si>
  <si>
    <t>GH 9</t>
  </si>
  <si>
    <t>GH 10</t>
  </si>
  <si>
    <t>GH 11</t>
  </si>
  <si>
    <t>GH 12</t>
  </si>
  <si>
    <t>GH 13</t>
  </si>
  <si>
    <t>GH 14</t>
  </si>
  <si>
    <t>GH 15</t>
  </si>
  <si>
    <t>GH 16</t>
  </si>
  <si>
    <t>GH 17</t>
  </si>
  <si>
    <t>GH 18</t>
  </si>
  <si>
    <t>GH 19</t>
  </si>
  <si>
    <t>GH 20</t>
  </si>
  <si>
    <t>GH 21</t>
  </si>
  <si>
    <t>GH 22</t>
  </si>
  <si>
    <t>001</t>
  </si>
  <si>
    <t>002</t>
  </si>
  <si>
    <t>003</t>
  </si>
  <si>
    <t>004</t>
  </si>
  <si>
    <t>005</t>
  </si>
  <si>
    <t>006</t>
  </si>
  <si>
    <t>007</t>
  </si>
  <si>
    <t>008</t>
  </si>
  <si>
    <t>009</t>
  </si>
  <si>
    <t>010</t>
  </si>
  <si>
    <t>011</t>
  </si>
  <si>
    <t>012</t>
  </si>
  <si>
    <t>013</t>
  </si>
  <si>
    <t>014</t>
  </si>
  <si>
    <t>015</t>
  </si>
  <si>
    <t>016</t>
  </si>
  <si>
    <t>017</t>
  </si>
  <si>
    <t>018</t>
  </si>
  <si>
    <t>GH 23</t>
  </si>
  <si>
    <t>kWh</t>
  </si>
  <si>
    <t>Brennstoff</t>
  </si>
  <si>
    <t>Summe</t>
  </si>
  <si>
    <t>bitte wählen</t>
  </si>
  <si>
    <t>Quantile</t>
  </si>
  <si>
    <t>GH 24</t>
  </si>
  <si>
    <t>GH 25</t>
  </si>
  <si>
    <t>3.</t>
  </si>
  <si>
    <t>4.</t>
  </si>
  <si>
    <t>oder errechnen: --&gt;</t>
  </si>
  <si>
    <t>1. Bitte tragen Sie Ihren jährlichen Gesamtverbrauch an Heizenergie ein bzw. füllen die Tabelle zur Berechnung des Verbrauchs aus:</t>
  </si>
  <si>
    <t>Menge pro Jahr</t>
  </si>
  <si>
    <t>Ihr Ergebnis ---&gt;</t>
  </si>
  <si>
    <t>Interpretation ---&gt;</t>
  </si>
  <si>
    <t>6. Ihr Ergebnis für den gesamten Betrieb:</t>
  </si>
  <si>
    <t>Heizbedarf</t>
  </si>
  <si>
    <t>Bautyp</t>
  </si>
  <si>
    <t>Bj. 1980 und älter</t>
  </si>
  <si>
    <t>Mittel</t>
  </si>
  <si>
    <t>Neubau</t>
  </si>
  <si>
    <t>Energiesparhaus</t>
  </si>
  <si>
    <t>Mittelfeld</t>
  </si>
  <si>
    <t xml:space="preserve">jährlicher Gesamtverbrauch : </t>
  </si>
  <si>
    <t>&gt; 304.649</t>
  </si>
  <si>
    <t>&gt; 451</t>
  </si>
  <si>
    <t>&gt; 11,374</t>
  </si>
  <si>
    <t>Klasse</t>
  </si>
  <si>
    <r>
      <rPr>
        <b/>
        <u/>
        <sz val="11"/>
        <color theme="1"/>
        <rFont val="Calibri"/>
        <family val="2"/>
        <scheme val="minor"/>
      </rPr>
      <t>Klasse</t>
    </r>
    <r>
      <rPr>
        <b/>
        <sz val="11"/>
        <color theme="1"/>
        <rFont val="Calibri"/>
        <family val="2"/>
        <scheme val="minor"/>
      </rPr>
      <t xml:space="preserve">        1</t>
    </r>
  </si>
  <si>
    <t>gibt jeweils Untergrenze ("größer-gleich") an</t>
  </si>
  <si>
    <t>gibt jeweils Obergrenze ("kleiner-gleich") an</t>
  </si>
  <si>
    <t xml:space="preserve"> alle Betriebe (Untergrenze)</t>
  </si>
  <si>
    <t>Gibt jeweils die Untergrenze ("größer-gleich") der Klasseneinteilung an.</t>
  </si>
  <si>
    <t>entspricht dem branchenüblichen Durchschnittswert</t>
  </si>
  <si>
    <t>Werte unter dem Durchschnitt ("gut"/"sparsam"/"effizient")</t>
  </si>
  <si>
    <t>Werte überdurchschnittlich hoch ("schlecht")</t>
  </si>
  <si>
    <t>^</t>
  </si>
  <si>
    <t>v</t>
  </si>
  <si>
    <t xml:space="preserve">Der Gesamtverbrauch ergibt sich aus ihrer Angabe des Energieaufwands abzüglich sonstiger Verbraucher, wie beispielsweise Wohnhäuser. </t>
  </si>
  <si>
    <t xml:space="preserve">Der Gesamtverbrauch je m² ergibt sich aus dem Gesambtverbrauch bezogen auf die von Ihnen genannte Gesamtfläche der Gewächshäuser. </t>
  </si>
  <si>
    <t>019</t>
  </si>
  <si>
    <t>020</t>
  </si>
  <si>
    <t>021</t>
  </si>
  <si>
    <t>022</t>
  </si>
  <si>
    <t>023</t>
  </si>
  <si>
    <t>024</t>
  </si>
  <si>
    <t>025</t>
  </si>
  <si>
    <t>Heizeffizienz</t>
  </si>
  <si>
    <t>W/K*m²</t>
  </si>
  <si>
    <r>
      <rPr>
        <b/>
        <sz val="11"/>
        <color theme="1"/>
        <rFont val="Calibri"/>
        <family val="2"/>
        <scheme val="minor"/>
      </rPr>
      <t>Gewächshäuser</t>
    </r>
    <r>
      <rPr>
        <sz val="11"/>
        <color theme="1"/>
        <rFont val="Calibri"/>
        <family val="2"/>
        <scheme val="minor"/>
      </rPr>
      <t xml:space="preserve"> aller Betriebe zum Vergleich</t>
    </r>
  </si>
  <si>
    <t>Brennwert [kWh]</t>
  </si>
  <si>
    <t>jährlicher Gesamtverbrauch [kWh]</t>
  </si>
  <si>
    <t>Heizöl [Liter]</t>
  </si>
  <si>
    <t>Erdgas [kWh]</t>
  </si>
  <si>
    <t>Anthrazit [kg]</t>
  </si>
  <si>
    <t>Palmöl [kg]</t>
  </si>
  <si>
    <t>Hackschnitzel [kg]</t>
  </si>
  <si>
    <t>Pellets [kg]</t>
  </si>
  <si>
    <t>Flüssiggas [Liter]</t>
  </si>
  <si>
    <t>mitbeheizte Wohn-/Bürofläche [m²]</t>
  </si>
  <si>
    <t>2. Werden Wohn-/Bürogebäude mitbeheizt? Bitte tragen Sie die Fläche ein und wählen den jeweiligen Bautyp:</t>
  </si>
  <si>
    <r>
      <t>Grundfläche [m</t>
    </r>
    <r>
      <rPr>
        <u/>
        <sz val="11"/>
        <color theme="1"/>
        <rFont val="Calibri"/>
        <family val="2"/>
        <scheme val="minor"/>
      </rPr>
      <t>²]</t>
    </r>
  </si>
  <si>
    <t>Bereinigter jährlicher Gesamtverbrauch [kWh]</t>
  </si>
  <si>
    <t>Abzuziehender jährlicher Verbrauch:</t>
  </si>
  <si>
    <t>Verbrauch [kWh]:</t>
  </si>
  <si>
    <t>kWh/m²</t>
  </si>
  <si>
    <t>jährl. Spez. Heizwärmebedarf [kWh/m²]</t>
  </si>
  <si>
    <t>jährl. spez. Heizwärmebedarf</t>
  </si>
  <si>
    <t>[kWh/m²]</t>
  </si>
  <si>
    <t>1.000 K*h*m²</t>
  </si>
  <si>
    <t xml:space="preserve">Jährlicher Energieverbrauch [kWh] </t>
  </si>
  <si>
    <t>Spezifischer jährlicher Energieverbrauch [kWh/m²]</t>
  </si>
  <si>
    <t>Gesamtenergieverbrauch           [kWh]</t>
  </si>
  <si>
    <t>Spezifischer Gesamtenergieverbrauch                         [kWh/m²]</t>
  </si>
  <si>
    <t>Gewächshausnummer</t>
  </si>
  <si>
    <t>Heizwert [kWh]</t>
  </si>
  <si>
    <t>Quelle: http://www.lwf.bayern.de/veroeffentlichungen/lwf-merkblaetter/mb-12-energiegehalt-holz.pdf</t>
  </si>
  <si>
    <t xml:space="preserve">Heizeffizienz              [W/K*m²] </t>
  </si>
  <si>
    <t>Heizeffizienz [W/K*m²]</t>
  </si>
  <si>
    <t>Verbrauch real [kWh]</t>
  </si>
  <si>
    <t>Rel. Anteil</t>
  </si>
  <si>
    <t>Spez. Heizb.</t>
  </si>
  <si>
    <t>&gt;77.355</t>
  </si>
  <si>
    <t>Heizbedarf [K*h*m²]</t>
  </si>
  <si>
    <t>Spezifischer Heizbedarf [K*h]</t>
  </si>
  <si>
    <t>Verbrauch</t>
  </si>
  <si>
    <t>Spez. Verbr.</t>
  </si>
  <si>
    <t>Gesamtverbrauch [kWh]</t>
  </si>
  <si>
    <t>Spezifischer Gesamtver-brauch [kWh/m²]</t>
  </si>
  <si>
    <t>Gesamt-heizbedarf [K*h*m²]</t>
  </si>
  <si>
    <t>Spezifischer Gesamt-heizbedarf [K*h]</t>
  </si>
  <si>
    <t>Gesamt-heizeffizienz</t>
  </si>
  <si>
    <t>Dieser Durchschnittswert gibt an welche Leistung(W) benötigt wird, um in ihrer Gärtnerei einen Quadratmeter Grundfläche um ein Kelvin zu heizen.                                                                                         Beim Verbrauch werden hier alle Faktoren wie Steuerung, Dämmung etc. berücksichtigt. Dieser Wert ist besonders geeignet, um sich mit anderen Gärtnern zu vergleichen.</t>
  </si>
  <si>
    <t>6. Ihre Ergebnisse für die einzelnen Gewächshäuser:</t>
  </si>
  <si>
    <t>Verbrauch real "1K,1h" [Wh/1K*h]</t>
  </si>
  <si>
    <t>Leistung real "1K,1h pro m²" [W/K*m²]</t>
  </si>
  <si>
    <t>Summe gesamt</t>
  </si>
  <si>
    <t>Erläuterung zur Klasseneinteilung siehe unten.</t>
  </si>
  <si>
    <t xml:space="preserve">Spezifischer Heizbedarf         [K*h/m²]  </t>
  </si>
  <si>
    <t>K*h/m²</t>
  </si>
  <si>
    <t>Spezifischer Heizbedarf                         [K*h/m²]</t>
  </si>
  <si>
    <t>Zeigt, wie stark die Gewächshausfläche durchschnittlich  beheizt wird (Gradstunden).</t>
  </si>
  <si>
    <t xml:space="preserve">entfällt, manuelle Eingabe unter 5. </t>
  </si>
  <si>
    <t xml:space="preserve">Verbrauch: </t>
  </si>
  <si>
    <t xml:space="preserve">Heizenergie pro Jahr in kWh; </t>
  </si>
  <si>
    <t>aus Wärmemengenzähler</t>
  </si>
  <si>
    <t>Verbrauch [kWh]</t>
  </si>
  <si>
    <r>
      <t xml:space="preserve">Heizbedarf: </t>
    </r>
    <r>
      <rPr>
        <sz val="11"/>
        <color theme="1"/>
        <rFont val="Calibri"/>
        <family val="2"/>
        <scheme val="minor"/>
      </rPr>
      <t xml:space="preserve"> </t>
    </r>
  </si>
  <si>
    <t>Gradstundenwerte;</t>
  </si>
  <si>
    <t>aus Klimacomputer</t>
  </si>
  <si>
    <r>
      <t xml:space="preserve">5. Bitte tragen Sie die Grundflächen, den Verbrauch und den </t>
    </r>
    <r>
      <rPr>
        <b/>
        <sz val="14"/>
        <rFont val="Calibri"/>
        <family val="2"/>
        <scheme val="minor"/>
      </rPr>
      <t>Heizbedarf</t>
    </r>
    <r>
      <rPr>
        <b/>
        <sz val="14"/>
        <color rgb="FFFF0000"/>
        <rFont val="Calibri"/>
        <family val="2"/>
        <scheme val="minor"/>
      </rPr>
      <t xml:space="preserve"> </t>
    </r>
    <r>
      <rPr>
        <b/>
        <sz val="14"/>
        <color theme="1"/>
        <rFont val="Calibri"/>
        <family val="2"/>
        <scheme val="minor"/>
      </rPr>
      <t>Ihrer Gewächshäuser ein:</t>
    </r>
  </si>
  <si>
    <r>
      <t xml:space="preserve">Vergleichstabelle aller </t>
    </r>
    <r>
      <rPr>
        <b/>
        <sz val="11"/>
        <color theme="1"/>
        <rFont val="Calibri"/>
        <family val="2"/>
        <scheme val="minor"/>
      </rPr>
      <t>Gewächshäuser:</t>
    </r>
  </si>
  <si>
    <r>
      <t xml:space="preserve">Vergleichstabelle aller </t>
    </r>
    <r>
      <rPr>
        <b/>
        <sz val="11"/>
        <color theme="1"/>
        <rFont val="Calibri"/>
        <family val="2"/>
        <scheme val="minor"/>
      </rPr>
      <t>Betriebe:</t>
    </r>
  </si>
  <si>
    <t>gemittelte Näherungswerte</t>
  </si>
</sst>
</file>

<file path=xl/styles.xml><?xml version="1.0" encoding="utf-8"?>
<styleSheet xmlns="http://schemas.openxmlformats.org/spreadsheetml/2006/main">
  <numFmts count="2">
    <numFmt numFmtId="164" formatCode="0.0000"/>
    <numFmt numFmtId="165" formatCode="#,##0.0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sz val="8"/>
      <color indexed="81"/>
      <name val="Tahoma"/>
      <family val="2"/>
    </font>
    <font>
      <b/>
      <sz val="8"/>
      <color indexed="81"/>
      <name val="Tahoma"/>
      <family val="2"/>
    </font>
    <font>
      <b/>
      <u/>
      <sz val="11"/>
      <color theme="1"/>
      <name val="Calibri"/>
      <family val="2"/>
      <scheme val="minor"/>
    </font>
    <font>
      <u/>
      <sz val="11"/>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11"/>
      <color rgb="FFFF0000"/>
      <name val="Calibri"/>
      <family val="2"/>
      <scheme val="minor"/>
    </font>
    <font>
      <i/>
      <sz val="11"/>
      <color theme="1"/>
      <name val="Calibri"/>
      <family val="2"/>
      <scheme val="minor"/>
    </font>
    <font>
      <b/>
      <sz val="14"/>
      <color rgb="FFFF0000"/>
      <name val="Calibri"/>
      <family val="2"/>
      <scheme val="minor"/>
    </font>
    <font>
      <b/>
      <sz val="14"/>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rgb="FFFF9933"/>
        <bgColor indexed="64"/>
      </patternFill>
    </fill>
    <fill>
      <patternFill patternType="solid">
        <fgColor rgb="FFFF6600"/>
        <bgColor indexed="64"/>
      </patternFill>
    </fill>
    <fill>
      <patternFill patternType="solid">
        <fgColor rgb="FFFFB633"/>
        <bgColor indexed="64"/>
      </patternFill>
    </fill>
    <fill>
      <patternFill patternType="solid">
        <fgColor rgb="FFFFD333"/>
        <bgColor indexed="64"/>
      </patternFill>
    </fill>
    <fill>
      <patternFill patternType="solid">
        <fgColor rgb="FFFFE989"/>
        <bgColor indexed="64"/>
      </patternFill>
    </fill>
    <fill>
      <patternFill patternType="solid">
        <fgColor rgb="FFD7D997"/>
        <bgColor indexed="64"/>
      </patternFill>
    </fill>
    <fill>
      <patternFill patternType="solid">
        <fgColor rgb="FFAFD1CB"/>
        <bgColor indexed="64"/>
      </patternFill>
    </fill>
    <fill>
      <patternFill patternType="solid">
        <fgColor rgb="FFFFFF0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5">
    <xf numFmtId="0" fontId="0" fillId="0" borderId="0" xfId="0"/>
    <xf numFmtId="0" fontId="16" fillId="0" borderId="0" xfId="0" applyFont="1" applyFill="1" applyBorder="1"/>
    <xf numFmtId="3" fontId="16" fillId="0" borderId="0" xfId="0" applyNumberFormat="1" applyFont="1" applyFill="1" applyBorder="1"/>
    <xf numFmtId="165" fontId="20" fillId="0" borderId="0" xfId="0" applyNumberFormat="1" applyFont="1" applyFill="1" applyBorder="1" applyAlignment="1">
      <alignment horizontal="center" vertical="center"/>
    </xf>
    <xf numFmtId="3" fontId="0" fillId="0" borderId="0" xfId="0" applyNumberFormat="1"/>
    <xf numFmtId="0" fontId="0" fillId="0" borderId="0" xfId="0" applyAlignment="1">
      <alignment horizontal="right"/>
    </xf>
    <xf numFmtId="164" fontId="0" fillId="0" borderId="0" xfId="0" applyNumberFormat="1"/>
    <xf numFmtId="9" fontId="0" fillId="0" borderId="0" xfId="0" applyNumberFormat="1"/>
    <xf numFmtId="2" fontId="16" fillId="0" borderId="0" xfId="0" applyNumberFormat="1" applyFont="1"/>
    <xf numFmtId="0" fontId="0" fillId="0" borderId="0" xfId="0" applyBorder="1"/>
    <xf numFmtId="0" fontId="23" fillId="0" borderId="0" xfId="0" applyFont="1"/>
    <xf numFmtId="3" fontId="23" fillId="0" borderId="0" xfId="0" applyNumberFormat="1" applyFo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6" fillId="0" borderId="15" xfId="0" applyFont="1" applyBorder="1"/>
    <xf numFmtId="0" fontId="0" fillId="0" borderId="16" xfId="0" applyFill="1" applyBorder="1"/>
    <xf numFmtId="0" fontId="16" fillId="0" borderId="16" xfId="0" applyFont="1" applyBorder="1"/>
    <xf numFmtId="0" fontId="0" fillId="0" borderId="10" xfId="0" applyBorder="1"/>
    <xf numFmtId="165" fontId="0" fillId="0" borderId="0" xfId="0" applyNumberFormat="1"/>
    <xf numFmtId="3" fontId="0" fillId="0" borderId="10" xfId="0" applyNumberFormat="1" applyBorder="1"/>
    <xf numFmtId="0" fontId="16" fillId="0" borderId="0" xfId="0" applyFont="1"/>
    <xf numFmtId="3" fontId="16" fillId="0" borderId="0" xfId="0" applyNumberFormat="1" applyFont="1"/>
    <xf numFmtId="49" fontId="0" fillId="0" borderId="0" xfId="0" applyNumberFormat="1" applyAlignment="1">
      <alignment wrapText="1"/>
    </xf>
    <xf numFmtId="0" fontId="23" fillId="0" borderId="0" xfId="0" applyFont="1" applyBorder="1"/>
    <xf numFmtId="0" fontId="23" fillId="35" borderId="0" xfId="0" applyFont="1" applyFill="1"/>
    <xf numFmtId="0" fontId="0" fillId="35" borderId="0" xfId="0" applyFill="1"/>
    <xf numFmtId="3" fontId="23" fillId="35" borderId="0" xfId="0" applyNumberFormat="1" applyFont="1" applyFill="1"/>
    <xf numFmtId="3" fontId="0" fillId="37" borderId="10" xfId="0" applyNumberFormat="1" applyFill="1" applyBorder="1" applyProtection="1">
      <protection locked="0"/>
    </xf>
    <xf numFmtId="3" fontId="0" fillId="37" borderId="28" xfId="0" applyNumberFormat="1" applyFill="1" applyBorder="1" applyProtection="1">
      <protection locked="0"/>
    </xf>
    <xf numFmtId="0" fontId="0" fillId="37" borderId="13" xfId="0" applyFill="1" applyBorder="1" applyProtection="1">
      <protection locked="0"/>
    </xf>
    <xf numFmtId="3" fontId="0" fillId="0" borderId="23" xfId="0" applyNumberFormat="1" applyBorder="1"/>
    <xf numFmtId="3" fontId="0" fillId="37" borderId="29" xfId="0" applyNumberFormat="1" applyFill="1" applyBorder="1" applyAlignment="1" applyProtection="1">
      <alignment horizontal="center"/>
      <protection locked="0"/>
    </xf>
    <xf numFmtId="0" fontId="0" fillId="37" borderId="26" xfId="0" applyFill="1" applyBorder="1" applyProtection="1">
      <protection locked="0"/>
    </xf>
    <xf numFmtId="0" fontId="0" fillId="0" borderId="20" xfId="0" applyFill="1" applyBorder="1"/>
    <xf numFmtId="0" fontId="16" fillId="0" borderId="24" xfId="0" applyFont="1" applyBorder="1"/>
    <xf numFmtId="3" fontId="16" fillId="0" borderId="22" xfId="0" applyNumberFormat="1" applyFont="1" applyFill="1" applyBorder="1"/>
    <xf numFmtId="0" fontId="0" fillId="0" borderId="0" xfId="0" applyAlignment="1">
      <alignment horizontal="center"/>
    </xf>
    <xf numFmtId="3" fontId="0" fillId="0" borderId="0" xfId="0" applyNumberFormat="1" applyFill="1" applyBorder="1" applyAlignment="1" applyProtection="1">
      <alignment horizontal="center"/>
      <protection locked="0"/>
    </xf>
    <xf numFmtId="49" fontId="0" fillId="35" borderId="0" xfId="0" applyNumberFormat="1" applyFill="1" applyAlignment="1">
      <alignment wrapText="1"/>
    </xf>
    <xf numFmtId="0" fontId="16" fillId="0" borderId="0" xfId="0" applyFont="1" applyAlignment="1">
      <alignment horizontal="right"/>
    </xf>
    <xf numFmtId="0" fontId="0" fillId="0" borderId="0" xfId="0" applyFill="1" applyBorder="1"/>
    <xf numFmtId="0" fontId="16" fillId="0" borderId="0" xfId="0" applyFont="1" applyBorder="1"/>
    <xf numFmtId="0" fontId="16" fillId="0" borderId="10" xfId="0" applyFont="1" applyBorder="1" applyAlignment="1">
      <alignment horizontal="center" vertical="center"/>
    </xf>
    <xf numFmtId="3" fontId="27" fillId="0" borderId="0" xfId="0" applyNumberFormat="1" applyFont="1" applyAlignment="1">
      <alignment horizontal="center"/>
    </xf>
    <xf numFmtId="165" fontId="27" fillId="0" borderId="0" xfId="0" applyNumberFormat="1" applyFont="1" applyAlignment="1">
      <alignment horizontal="center"/>
    </xf>
    <xf numFmtId="0" fontId="16" fillId="0" borderId="30" xfId="0" applyNumberFormat="1" applyFont="1" applyBorder="1" applyAlignment="1">
      <alignment horizontal="center" vertical="center" wrapText="1"/>
    </xf>
    <xf numFmtId="1" fontId="0" fillId="0" borderId="0" xfId="0" applyNumberFormat="1"/>
    <xf numFmtId="0" fontId="16" fillId="0" borderId="0" xfId="0" applyFont="1" applyBorder="1" applyAlignment="1">
      <alignment horizontal="center" vertical="center"/>
    </xf>
    <xf numFmtId="0" fontId="16" fillId="0" borderId="0" xfId="0" applyNumberFormat="1" applyFont="1" applyBorder="1" applyAlignment="1">
      <alignment horizontal="center" vertical="center" wrapText="1"/>
    </xf>
    <xf numFmtId="0" fontId="20" fillId="0" borderId="0" xfId="0" applyFont="1" applyFill="1" applyBorder="1" applyAlignment="1">
      <alignment horizontal="left" vertical="top" wrapText="1"/>
    </xf>
    <xf numFmtId="0" fontId="16" fillId="0" borderId="10" xfId="0" applyFont="1" applyBorder="1" applyAlignment="1">
      <alignment wrapText="1"/>
    </xf>
    <xf numFmtId="3" fontId="16" fillId="0" borderId="0" xfId="0" applyNumberFormat="1" applyFont="1" applyAlignment="1">
      <alignment horizontal="center"/>
    </xf>
    <xf numFmtId="3" fontId="0" fillId="0" borderId="0" xfId="0" applyNumberFormat="1" applyFont="1" applyAlignment="1">
      <alignment horizontal="center"/>
    </xf>
    <xf numFmtId="3" fontId="16" fillId="0" borderId="0" xfId="0" applyNumberFormat="1" applyFont="1" applyAlignment="1">
      <alignment horizontal="center" wrapText="1"/>
    </xf>
    <xf numFmtId="0" fontId="14" fillId="0" borderId="0" xfId="0" applyFont="1"/>
    <xf numFmtId="0" fontId="14" fillId="0" borderId="0" xfId="0" applyFont="1" applyAlignment="1">
      <alignment wrapText="1"/>
    </xf>
    <xf numFmtId="49" fontId="26" fillId="0" borderId="0" xfId="0" applyNumberFormat="1" applyFont="1" applyFill="1" applyAlignment="1">
      <alignment horizontal="left" wrapText="1"/>
    </xf>
    <xf numFmtId="3" fontId="0" fillId="38" borderId="0" xfId="0" applyNumberFormat="1" applyFill="1" applyAlignment="1">
      <alignment horizontal="center" vertical="center"/>
    </xf>
    <xf numFmtId="3" fontId="0" fillId="34" borderId="0" xfId="0" applyNumberFormat="1" applyFill="1" applyAlignment="1">
      <alignment horizontal="center" vertical="center"/>
    </xf>
    <xf numFmtId="3" fontId="0" fillId="46" borderId="0" xfId="0" applyNumberFormat="1" applyFill="1" applyAlignment="1">
      <alignment horizontal="center" vertical="center"/>
    </xf>
    <xf numFmtId="3" fontId="0" fillId="45" borderId="0" xfId="0" applyNumberFormat="1" applyFill="1" applyAlignment="1">
      <alignment horizontal="center" vertical="center"/>
    </xf>
    <xf numFmtId="3" fontId="0" fillId="42" borderId="0" xfId="0" applyNumberFormat="1" applyFill="1" applyAlignment="1">
      <alignment horizontal="center" vertical="center"/>
    </xf>
    <xf numFmtId="3" fontId="0" fillId="40" borderId="0" xfId="0" applyNumberFormat="1" applyFill="1" applyAlignment="1">
      <alignment horizontal="center" vertical="center"/>
    </xf>
    <xf numFmtId="3" fontId="0" fillId="41" borderId="0" xfId="0" applyNumberFormat="1" applyFill="1" applyAlignment="1">
      <alignment horizontal="center" vertical="center"/>
    </xf>
    <xf numFmtId="3" fontId="0" fillId="39" borderId="0" xfId="0" applyNumberFormat="1" applyFill="1" applyAlignment="1">
      <alignment horizontal="center" vertical="center"/>
    </xf>
    <xf numFmtId="164" fontId="0" fillId="38" borderId="0" xfId="0" applyNumberFormat="1" applyFill="1" applyAlignment="1">
      <alignment horizontal="center" vertical="center"/>
    </xf>
    <xf numFmtId="164" fontId="0" fillId="34" borderId="0" xfId="0" applyNumberFormat="1" applyFill="1" applyAlignment="1">
      <alignment horizontal="center" vertical="center"/>
    </xf>
    <xf numFmtId="164" fontId="0" fillId="46" borderId="0" xfId="0" applyNumberFormat="1" applyFill="1" applyAlignment="1">
      <alignment horizontal="center" vertical="center"/>
    </xf>
    <xf numFmtId="164" fontId="0" fillId="45" borderId="0" xfId="0" applyNumberFormat="1" applyFill="1" applyAlignment="1">
      <alignment horizontal="center" vertical="center"/>
    </xf>
    <xf numFmtId="164" fontId="0" fillId="42" borderId="0" xfId="0" applyNumberFormat="1" applyFill="1" applyAlignment="1">
      <alignment horizontal="center" vertical="center"/>
    </xf>
    <xf numFmtId="164" fontId="0" fillId="40" borderId="0" xfId="0" applyNumberFormat="1" applyFill="1" applyAlignment="1">
      <alignment horizontal="center" vertical="center"/>
    </xf>
    <xf numFmtId="164" fontId="0" fillId="41" borderId="0" xfId="0" applyNumberFormat="1" applyFill="1" applyAlignment="1">
      <alignment horizontal="center" vertical="center"/>
    </xf>
    <xf numFmtId="164" fontId="0" fillId="39" borderId="0" xfId="0" applyNumberFormat="1" applyFill="1" applyAlignment="1">
      <alignment horizontal="center" vertical="center"/>
    </xf>
    <xf numFmtId="0" fontId="28" fillId="0" borderId="0" xfId="0" applyFont="1"/>
    <xf numFmtId="0" fontId="23" fillId="0" borderId="17" xfId="0" applyFont="1" applyBorder="1" applyAlignment="1">
      <alignment horizontal="center"/>
    </xf>
    <xf numFmtId="3" fontId="16" fillId="0" borderId="0" xfId="0" applyNumberFormat="1" applyFont="1" applyAlignment="1">
      <alignment horizontal="right"/>
    </xf>
    <xf numFmtId="0" fontId="16" fillId="0" borderId="31" xfId="0" applyNumberFormat="1" applyFont="1" applyBorder="1" applyAlignment="1">
      <alignment horizontal="center" vertical="center" wrapText="1"/>
    </xf>
    <xf numFmtId="3" fontId="14" fillId="0" borderId="0" xfId="0" applyNumberFormat="1" applyFont="1"/>
    <xf numFmtId="164" fontId="0" fillId="34" borderId="19" xfId="0" applyNumberFormat="1" applyFill="1" applyBorder="1" applyAlignment="1">
      <alignment horizontal="center"/>
    </xf>
    <xf numFmtId="164" fontId="0" fillId="46" borderId="19" xfId="0" applyNumberFormat="1" applyFill="1" applyBorder="1" applyAlignment="1">
      <alignment horizontal="center"/>
    </xf>
    <xf numFmtId="164" fontId="0" fillId="45" borderId="19" xfId="0" applyNumberFormat="1" applyFill="1" applyBorder="1" applyAlignment="1">
      <alignment horizontal="center"/>
    </xf>
    <xf numFmtId="164" fontId="0" fillId="42" borderId="19" xfId="0" applyNumberFormat="1" applyFill="1" applyBorder="1" applyAlignment="1">
      <alignment horizontal="center"/>
    </xf>
    <xf numFmtId="164" fontId="0" fillId="40" borderId="19" xfId="0" applyNumberFormat="1" applyFill="1" applyBorder="1" applyAlignment="1">
      <alignment horizontal="center"/>
    </xf>
    <xf numFmtId="164" fontId="0" fillId="41" borderId="19" xfId="0" applyNumberFormat="1" applyFill="1" applyBorder="1" applyAlignment="1">
      <alignment horizontal="center"/>
    </xf>
    <xf numFmtId="3" fontId="0" fillId="34" borderId="11" xfId="0" applyNumberFormat="1" applyFill="1" applyBorder="1" applyAlignment="1">
      <alignment horizontal="center"/>
    </xf>
    <xf numFmtId="3" fontId="0" fillId="46" borderId="11" xfId="0" applyNumberFormat="1" applyFill="1" applyBorder="1" applyAlignment="1">
      <alignment horizontal="center"/>
    </xf>
    <xf numFmtId="3" fontId="0" fillId="45" borderId="11" xfId="0" applyNumberFormat="1" applyFill="1" applyBorder="1" applyAlignment="1">
      <alignment horizontal="center"/>
    </xf>
    <xf numFmtId="3" fontId="0" fillId="42" borderId="11" xfId="0" applyNumberFormat="1" applyFill="1" applyBorder="1" applyAlignment="1">
      <alignment horizontal="center"/>
    </xf>
    <xf numFmtId="3" fontId="0" fillId="40" borderId="11" xfId="0" applyNumberFormat="1" applyFill="1" applyBorder="1" applyAlignment="1">
      <alignment horizontal="center"/>
    </xf>
    <xf numFmtId="3" fontId="0" fillId="41" borderId="11" xfId="0" applyNumberFormat="1" applyFill="1" applyBorder="1" applyAlignment="1">
      <alignment horizontal="center"/>
    </xf>
    <xf numFmtId="3" fontId="0" fillId="39" borderId="34" xfId="0" applyNumberFormat="1" applyFill="1" applyBorder="1" applyAlignment="1">
      <alignment horizontal="center"/>
    </xf>
    <xf numFmtId="164" fontId="0" fillId="39" borderId="37" xfId="0" applyNumberFormat="1" applyFill="1" applyBorder="1" applyAlignment="1">
      <alignment horizontal="center"/>
    </xf>
    <xf numFmtId="3" fontId="0" fillId="38" borderId="32" xfId="0" applyNumberFormat="1" applyFill="1" applyBorder="1" applyAlignment="1">
      <alignment horizontal="center"/>
    </xf>
    <xf numFmtId="164" fontId="0" fillId="38" borderId="22" xfId="0" applyNumberFormat="1" applyFill="1"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3" fontId="0" fillId="46" borderId="38" xfId="0" applyNumberFormat="1" applyFill="1" applyBorder="1"/>
    <xf numFmtId="3" fontId="0" fillId="46" borderId="39" xfId="0" applyNumberFormat="1" applyFill="1" applyBorder="1"/>
    <xf numFmtId="164" fontId="0" fillId="46" borderId="39" xfId="0" applyNumberFormat="1" applyFill="1" applyBorder="1"/>
    <xf numFmtId="0" fontId="0" fillId="0" borderId="40" xfId="0" applyBorder="1" applyAlignment="1">
      <alignment horizontal="center"/>
    </xf>
    <xf numFmtId="3" fontId="0" fillId="39" borderId="18" xfId="0" applyNumberFormat="1" applyFill="1" applyBorder="1" applyAlignment="1">
      <alignment horizontal="center"/>
    </xf>
    <xf numFmtId="3" fontId="0" fillId="41" borderId="12" xfId="0" applyNumberFormat="1" applyFill="1" applyBorder="1" applyAlignment="1">
      <alignment horizontal="center"/>
    </xf>
    <xf numFmtId="3" fontId="0" fillId="40" borderId="12" xfId="0" applyNumberFormat="1" applyFill="1" applyBorder="1" applyAlignment="1">
      <alignment horizontal="center"/>
    </xf>
    <xf numFmtId="3" fontId="0" fillId="42" borderId="12" xfId="0" applyNumberFormat="1" applyFill="1" applyBorder="1" applyAlignment="1">
      <alignment horizontal="center"/>
    </xf>
    <xf numFmtId="3" fontId="0" fillId="45" borderId="12" xfId="0" applyNumberFormat="1" applyFill="1" applyBorder="1" applyAlignment="1">
      <alignment horizontal="center"/>
    </xf>
    <xf numFmtId="3" fontId="0" fillId="46" borderId="12" xfId="0" applyNumberFormat="1" applyFill="1" applyBorder="1" applyAlignment="1">
      <alignment horizontal="center"/>
    </xf>
    <xf numFmtId="3" fontId="0" fillId="34" borderId="12" xfId="0" applyNumberFormat="1" applyFill="1" applyBorder="1" applyAlignment="1">
      <alignment horizontal="center"/>
    </xf>
    <xf numFmtId="3" fontId="0" fillId="38" borderId="42" xfId="0" applyNumberFormat="1" applyFill="1" applyBorder="1" applyAlignment="1">
      <alignment horizontal="center"/>
    </xf>
    <xf numFmtId="0" fontId="16" fillId="34" borderId="27" xfId="0" applyFont="1" applyFill="1" applyBorder="1" applyAlignment="1">
      <alignment horizontal="center" vertical="center"/>
    </xf>
    <xf numFmtId="3" fontId="0" fillId="39" borderId="20" xfId="0" applyNumberFormat="1" applyFill="1" applyBorder="1" applyAlignment="1">
      <alignment horizontal="center"/>
    </xf>
    <xf numFmtId="3" fontId="0" fillId="39" borderId="43" xfId="0" applyNumberFormat="1" applyFill="1" applyBorder="1" applyAlignment="1">
      <alignment horizontal="center"/>
    </xf>
    <xf numFmtId="164" fontId="0" fillId="34" borderId="34" xfId="0" applyNumberFormat="1" applyFill="1" applyBorder="1" applyAlignment="1">
      <alignment horizontal="center"/>
    </xf>
    <xf numFmtId="164" fontId="0" fillId="46" borderId="34" xfId="0" applyNumberFormat="1" applyFill="1" applyBorder="1" applyAlignment="1">
      <alignment horizontal="center"/>
    </xf>
    <xf numFmtId="164" fontId="0" fillId="45" borderId="34" xfId="0" applyNumberFormat="1" applyFill="1" applyBorder="1" applyAlignment="1">
      <alignment horizontal="center"/>
    </xf>
    <xf numFmtId="164" fontId="0" fillId="42" borderId="34" xfId="0" applyNumberFormat="1" applyFill="1" applyBorder="1" applyAlignment="1">
      <alignment horizontal="center"/>
    </xf>
    <xf numFmtId="164" fontId="0" fillId="40" borderId="34" xfId="0" applyNumberFormat="1" applyFill="1" applyBorder="1" applyAlignment="1">
      <alignment horizontal="center"/>
    </xf>
    <xf numFmtId="164" fontId="0" fillId="41" borderId="34" xfId="0" applyNumberFormat="1" applyFill="1" applyBorder="1" applyAlignment="1">
      <alignment horizontal="center"/>
    </xf>
    <xf numFmtId="3" fontId="0" fillId="34" borderId="14" xfId="0" applyNumberFormat="1" applyFill="1" applyBorder="1" applyAlignment="1">
      <alignment horizontal="center"/>
    </xf>
    <xf numFmtId="3" fontId="0" fillId="46" borderId="14" xfId="0" applyNumberFormat="1" applyFill="1" applyBorder="1" applyAlignment="1">
      <alignment horizontal="center"/>
    </xf>
    <xf numFmtId="3" fontId="0" fillId="45" borderId="14" xfId="0" applyNumberFormat="1" applyFill="1" applyBorder="1" applyAlignment="1">
      <alignment horizontal="center"/>
    </xf>
    <xf numFmtId="3" fontId="0" fillId="42" borderId="14" xfId="0" applyNumberFormat="1" applyFill="1" applyBorder="1" applyAlignment="1">
      <alignment horizontal="center"/>
    </xf>
    <xf numFmtId="3" fontId="0" fillId="40" borderId="14" xfId="0" applyNumberFormat="1" applyFill="1" applyBorder="1" applyAlignment="1">
      <alignment horizontal="center"/>
    </xf>
    <xf numFmtId="3" fontId="0" fillId="41" borderId="14" xfId="0" applyNumberFormat="1" applyFill="1" applyBorder="1" applyAlignment="1">
      <alignment horizontal="center"/>
    </xf>
    <xf numFmtId="0" fontId="16" fillId="34" borderId="29" xfId="0" applyFont="1" applyFill="1" applyBorder="1" applyAlignment="1">
      <alignment horizontal="center" vertical="center" textRotation="90"/>
    </xf>
    <xf numFmtId="164" fontId="0" fillId="34" borderId="37" xfId="0" applyNumberFormat="1" applyFill="1" applyBorder="1" applyAlignment="1">
      <alignment horizontal="center"/>
    </xf>
    <xf numFmtId="164" fontId="0" fillId="46" borderId="37" xfId="0" applyNumberFormat="1" applyFill="1" applyBorder="1" applyAlignment="1">
      <alignment horizontal="center"/>
    </xf>
    <xf numFmtId="164" fontId="0" fillId="45" borderId="37" xfId="0" applyNumberFormat="1" applyFill="1" applyBorder="1" applyAlignment="1">
      <alignment horizontal="center"/>
    </xf>
    <xf numFmtId="164" fontId="0" fillId="42" borderId="37" xfId="0" applyNumberFormat="1" applyFill="1" applyBorder="1" applyAlignment="1">
      <alignment horizontal="center"/>
    </xf>
    <xf numFmtId="164" fontId="0" fillId="40" borderId="37" xfId="0" applyNumberFormat="1" applyFill="1" applyBorder="1" applyAlignment="1">
      <alignment horizontal="center"/>
    </xf>
    <xf numFmtId="164" fontId="0" fillId="41" borderId="37" xfId="0" applyNumberFormat="1" applyFill="1" applyBorder="1" applyAlignment="1">
      <alignment horizontal="center"/>
    </xf>
    <xf numFmtId="164" fontId="0" fillId="39" borderId="44" xfId="0" applyNumberFormat="1" applyFill="1" applyBorder="1" applyAlignment="1">
      <alignment horizontal="center"/>
    </xf>
    <xf numFmtId="9" fontId="0" fillId="39" borderId="37" xfId="0" applyNumberFormat="1" applyFill="1" applyBorder="1" applyAlignment="1">
      <alignment horizontal="center"/>
    </xf>
    <xf numFmtId="9" fontId="0" fillId="41" borderId="19" xfId="0" applyNumberFormat="1" applyFill="1" applyBorder="1" applyAlignment="1">
      <alignment horizontal="center"/>
    </xf>
    <xf numFmtId="9" fontId="0" fillId="40" borderId="19" xfId="0" applyNumberFormat="1" applyFill="1" applyBorder="1" applyAlignment="1">
      <alignment horizontal="center"/>
    </xf>
    <xf numFmtId="9" fontId="0" fillId="42" borderId="19" xfId="0" applyNumberFormat="1" applyFill="1" applyBorder="1" applyAlignment="1">
      <alignment horizontal="center"/>
    </xf>
    <xf numFmtId="9" fontId="0" fillId="45" borderId="19" xfId="0" applyNumberFormat="1" applyFill="1" applyBorder="1" applyAlignment="1">
      <alignment horizontal="center"/>
    </xf>
    <xf numFmtId="9" fontId="0" fillId="46" borderId="19" xfId="0" applyNumberFormat="1" applyFill="1" applyBorder="1" applyAlignment="1">
      <alignment horizontal="center"/>
    </xf>
    <xf numFmtId="9" fontId="0" fillId="34" borderId="19" xfId="0" applyNumberFormat="1" applyFill="1" applyBorder="1" applyAlignment="1">
      <alignment horizontal="center"/>
    </xf>
    <xf numFmtId="9" fontId="0" fillId="38" borderId="22" xfId="0" applyNumberFormat="1" applyFill="1" applyBorder="1" applyAlignment="1">
      <alignment horizontal="center"/>
    </xf>
    <xf numFmtId="3" fontId="0" fillId="34" borderId="19" xfId="0" applyNumberFormat="1" applyFill="1" applyBorder="1" applyAlignment="1">
      <alignment horizontal="center"/>
    </xf>
    <xf numFmtId="3" fontId="0" fillId="46" borderId="19" xfId="0" applyNumberFormat="1" applyFill="1" applyBorder="1" applyAlignment="1">
      <alignment horizontal="center"/>
    </xf>
    <xf numFmtId="3" fontId="0" fillId="45" borderId="19" xfId="0" applyNumberFormat="1" applyFill="1" applyBorder="1" applyAlignment="1">
      <alignment horizontal="center"/>
    </xf>
    <xf numFmtId="3" fontId="0" fillId="42" borderId="19" xfId="0" applyNumberFormat="1" applyFill="1" applyBorder="1" applyAlignment="1">
      <alignment horizontal="center"/>
    </xf>
    <xf numFmtId="3" fontId="0" fillId="40" borderId="19" xfId="0" applyNumberFormat="1" applyFill="1" applyBorder="1" applyAlignment="1">
      <alignment horizontal="center"/>
    </xf>
    <xf numFmtId="3" fontId="0" fillId="41" borderId="19" xfId="0" applyNumberFormat="1" applyFill="1" applyBorder="1" applyAlignment="1">
      <alignment horizontal="center"/>
    </xf>
    <xf numFmtId="3" fontId="0" fillId="39" borderId="22" xfId="0" applyNumberFormat="1" applyFill="1" applyBorder="1" applyAlignment="1">
      <alignment horizontal="center"/>
    </xf>
    <xf numFmtId="3" fontId="0" fillId="38" borderId="15" xfId="0" applyNumberFormat="1" applyFill="1" applyBorder="1" applyAlignment="1">
      <alignment horizontal="center"/>
    </xf>
    <xf numFmtId="3" fontId="0" fillId="38" borderId="17" xfId="0" applyNumberFormat="1" applyFill="1" applyBorder="1" applyAlignment="1">
      <alignment horizontal="center"/>
    </xf>
    <xf numFmtId="3" fontId="0" fillId="38" borderId="48" xfId="0" applyNumberFormat="1" applyFill="1" applyBorder="1" applyAlignment="1">
      <alignment horizontal="center"/>
    </xf>
    <xf numFmtId="3" fontId="0" fillId="38" borderId="36" xfId="0" applyNumberFormat="1" applyFill="1" applyBorder="1" applyAlignment="1">
      <alignment horizontal="center"/>
    </xf>
    <xf numFmtId="1" fontId="0" fillId="46" borderId="38" xfId="0" applyNumberFormat="1" applyFill="1" applyBorder="1"/>
    <xf numFmtId="3" fontId="0" fillId="46" borderId="42" xfId="0" applyNumberFormat="1" applyFill="1" applyBorder="1"/>
    <xf numFmtId="1" fontId="0" fillId="46" borderId="42" xfId="0" applyNumberFormat="1" applyFill="1" applyBorder="1"/>
    <xf numFmtId="3" fontId="0" fillId="46" borderId="32" xfId="0" applyNumberFormat="1" applyFill="1" applyBorder="1"/>
    <xf numFmtId="164" fontId="0" fillId="46" borderId="32" xfId="0" applyNumberFormat="1" applyFill="1" applyBorder="1"/>
    <xf numFmtId="0" fontId="16" fillId="0" borderId="0" xfId="0" applyFont="1" applyAlignment="1">
      <alignment horizontal="center"/>
    </xf>
    <xf numFmtId="0" fontId="16" fillId="0" borderId="0" xfId="0" applyFont="1" applyAlignment="1">
      <alignment horizontal="left"/>
    </xf>
    <xf numFmtId="0" fontId="23" fillId="0" borderId="0" xfId="0" applyFont="1" applyAlignment="1">
      <alignment horizontal="left"/>
    </xf>
    <xf numFmtId="3" fontId="0" fillId="44" borderId="41" xfId="0" applyNumberFormat="1" applyFill="1" applyBorder="1" applyAlignment="1">
      <alignment horizontal="center"/>
    </xf>
    <xf numFmtId="3" fontId="0" fillId="44" borderId="35" xfId="0" applyNumberFormat="1" applyFill="1" applyBorder="1" applyAlignment="1">
      <alignment horizontal="center"/>
    </xf>
    <xf numFmtId="164" fontId="0" fillId="44" borderId="36" xfId="0" applyNumberFormat="1" applyFill="1" applyBorder="1" applyAlignment="1">
      <alignment horizontal="center"/>
    </xf>
    <xf numFmtId="3" fontId="0" fillId="44" borderId="17" xfId="0" applyNumberFormat="1" applyFill="1" applyBorder="1" applyAlignment="1">
      <alignment horizontal="center"/>
    </xf>
    <xf numFmtId="3" fontId="0" fillId="43" borderId="42" xfId="0" applyNumberFormat="1" applyFill="1" applyBorder="1" applyAlignment="1">
      <alignment horizontal="center"/>
    </xf>
    <xf numFmtId="3" fontId="0" fillId="43" borderId="32" xfId="0" applyNumberFormat="1" applyFill="1" applyBorder="1" applyAlignment="1">
      <alignment horizontal="center"/>
    </xf>
    <xf numFmtId="164" fontId="0" fillId="43" borderId="44" xfId="0" applyNumberFormat="1" applyFill="1" applyBorder="1" applyAlignment="1">
      <alignment horizontal="center"/>
    </xf>
    <xf numFmtId="3" fontId="0" fillId="43" borderId="22" xfId="0" applyNumberFormat="1" applyFill="1" applyBorder="1" applyAlignment="1">
      <alignment horizontal="center"/>
    </xf>
    <xf numFmtId="3" fontId="0" fillId="43" borderId="41" xfId="0" applyNumberFormat="1" applyFill="1" applyBorder="1" applyAlignment="1">
      <alignment horizontal="center"/>
    </xf>
    <xf numFmtId="3" fontId="0" fillId="43" borderId="35" xfId="0" applyNumberFormat="1" applyFill="1" applyBorder="1" applyAlignment="1">
      <alignment horizontal="center"/>
    </xf>
    <xf numFmtId="164" fontId="0" fillId="43" borderId="17" xfId="0" applyNumberFormat="1" applyFill="1" applyBorder="1" applyAlignment="1">
      <alignment horizontal="center"/>
    </xf>
    <xf numFmtId="9" fontId="0" fillId="43" borderId="17" xfId="0" applyNumberFormat="1" applyFill="1" applyBorder="1" applyAlignment="1">
      <alignment horizontal="center"/>
    </xf>
    <xf numFmtId="3" fontId="0" fillId="44" borderId="42" xfId="0" applyNumberFormat="1" applyFill="1" applyBorder="1" applyAlignment="1">
      <alignment horizontal="center"/>
    </xf>
    <xf numFmtId="3" fontId="0" fillId="44" borderId="32" xfId="0" applyNumberFormat="1" applyFill="1" applyBorder="1" applyAlignment="1">
      <alignment horizontal="center"/>
    </xf>
    <xf numFmtId="164" fontId="0" fillId="44" borderId="22" xfId="0" applyNumberFormat="1" applyFill="1" applyBorder="1" applyAlignment="1">
      <alignment horizontal="center"/>
    </xf>
    <xf numFmtId="9" fontId="0" fillId="44" borderId="22" xfId="0" applyNumberFormat="1" applyFill="1" applyBorder="1" applyAlignment="1">
      <alignment horizontal="center"/>
    </xf>
    <xf numFmtId="0" fontId="16" fillId="0" borderId="15" xfId="0" applyFont="1" applyBorder="1" applyAlignment="1">
      <alignment horizontal="center"/>
    </xf>
    <xf numFmtId="0" fontId="16" fillId="0" borderId="17" xfId="0" applyFont="1" applyBorder="1" applyAlignment="1">
      <alignment horizontal="center"/>
    </xf>
    <xf numFmtId="3" fontId="27" fillId="0" borderId="18" xfId="0" applyNumberFormat="1" applyFont="1" applyBorder="1" applyAlignment="1">
      <alignment horizontal="center"/>
    </xf>
    <xf numFmtId="3" fontId="27" fillId="0" borderId="19" xfId="0" applyNumberFormat="1" applyFont="1" applyBorder="1" applyAlignment="1">
      <alignment horizontal="center"/>
    </xf>
    <xf numFmtId="3" fontId="0" fillId="44" borderId="18" xfId="0" applyNumberFormat="1" applyFill="1" applyBorder="1" applyAlignment="1">
      <alignment horizontal="center" vertical="center"/>
    </xf>
    <xf numFmtId="3" fontId="0" fillId="43" borderId="19" xfId="0" applyNumberFormat="1" applyFill="1" applyBorder="1" applyAlignment="1">
      <alignment horizontal="center" vertical="center"/>
    </xf>
    <xf numFmtId="165" fontId="27" fillId="0" borderId="18" xfId="0" applyNumberFormat="1" applyFont="1" applyBorder="1" applyAlignment="1">
      <alignment horizontal="center"/>
    </xf>
    <xf numFmtId="165" fontId="27" fillId="0" borderId="19" xfId="0" applyNumberFormat="1" applyFont="1" applyBorder="1" applyAlignment="1">
      <alignment horizontal="center"/>
    </xf>
    <xf numFmtId="164" fontId="0" fillId="44" borderId="18" xfId="0" applyNumberFormat="1" applyFill="1" applyBorder="1" applyAlignment="1">
      <alignment horizontal="center" vertical="center"/>
    </xf>
    <xf numFmtId="164" fontId="0" fillId="43" borderId="19" xfId="0" applyNumberFormat="1" applyFill="1" applyBorder="1" applyAlignment="1">
      <alignment horizontal="center" vertical="center"/>
    </xf>
    <xf numFmtId="0" fontId="16" fillId="0" borderId="20" xfId="0" applyNumberFormat="1" applyFont="1" applyBorder="1" applyAlignment="1">
      <alignment horizontal="center" vertical="center" wrapText="1"/>
    </xf>
    <xf numFmtId="0" fontId="16" fillId="0" borderId="22" xfId="0" applyNumberFormat="1" applyFont="1" applyBorder="1" applyAlignment="1">
      <alignment horizontal="center" vertical="center" wrapText="1"/>
    </xf>
    <xf numFmtId="0" fontId="16" fillId="0" borderId="33" xfId="0" applyNumberFormat="1" applyFont="1" applyBorder="1" applyAlignment="1">
      <alignment horizontal="center" vertical="center" wrapText="1"/>
    </xf>
    <xf numFmtId="0" fontId="16" fillId="0" borderId="49" xfId="0" applyNumberFormat="1" applyFont="1" applyBorder="1" applyAlignment="1">
      <alignment horizontal="center" vertical="center" wrapText="1"/>
    </xf>
    <xf numFmtId="49" fontId="0" fillId="0" borderId="0" xfId="0" applyNumberFormat="1"/>
    <xf numFmtId="0" fontId="0" fillId="0" borderId="27" xfId="0" applyBorder="1" applyAlignment="1">
      <alignment horizontal="center" vertical="center"/>
    </xf>
    <xf numFmtId="0" fontId="0" fillId="0" borderId="26" xfId="0" applyBorder="1" applyAlignment="1">
      <alignment horizontal="center" vertical="center"/>
    </xf>
    <xf numFmtId="3" fontId="0" fillId="39" borderId="41" xfId="0" applyNumberFormat="1" applyFill="1" applyBorder="1" applyAlignment="1">
      <alignment horizontal="center"/>
    </xf>
    <xf numFmtId="3" fontId="0" fillId="39" borderId="35" xfId="0" applyNumberFormat="1" applyFill="1" applyBorder="1" applyAlignment="1">
      <alignment horizontal="center"/>
    </xf>
    <xf numFmtId="164" fontId="0" fillId="39" borderId="48" xfId="0" applyNumberFormat="1" applyFill="1" applyBorder="1" applyAlignment="1">
      <alignment horizontal="center"/>
    </xf>
    <xf numFmtId="3" fontId="0" fillId="39" borderId="27" xfId="0" applyNumberFormat="1" applyFill="1" applyBorder="1" applyAlignment="1">
      <alignment horizontal="center"/>
    </xf>
    <xf numFmtId="3" fontId="0" fillId="38" borderId="43" xfId="0" applyNumberFormat="1" applyFill="1" applyBorder="1" applyAlignment="1">
      <alignment horizontal="center"/>
    </xf>
    <xf numFmtId="3" fontId="0" fillId="38" borderId="26" xfId="0" applyNumberFormat="1" applyFill="1" applyBorder="1" applyAlignment="1">
      <alignment horizontal="center"/>
    </xf>
    <xf numFmtId="0" fontId="16" fillId="34" borderId="27" xfId="0" applyFont="1" applyFill="1" applyBorder="1" applyAlignment="1">
      <alignment horizontal="center" vertical="center" wrapText="1"/>
    </xf>
    <xf numFmtId="0" fontId="23" fillId="35" borderId="0" xfId="0" applyFont="1" applyFill="1" applyAlignment="1">
      <alignment horizontal="right"/>
    </xf>
    <xf numFmtId="0" fontId="27" fillId="0" borderId="50" xfId="0" applyFont="1" applyBorder="1" applyAlignment="1">
      <alignment horizontal="center"/>
    </xf>
    <xf numFmtId="164" fontId="25" fillId="36" borderId="50" xfId="0" applyNumberFormat="1" applyFont="1" applyFill="1" applyBorder="1" applyAlignment="1">
      <alignment horizontal="center" vertical="center" wrapText="1"/>
    </xf>
    <xf numFmtId="0" fontId="20" fillId="36" borderId="39" xfId="0" applyFont="1" applyFill="1" applyBorder="1" applyAlignment="1">
      <alignment horizontal="left" vertical="top" wrapText="1"/>
    </xf>
    <xf numFmtId="49" fontId="27" fillId="0" borderId="0" xfId="0" applyNumberFormat="1" applyFont="1" applyFill="1" applyAlignment="1">
      <alignment horizontal="left" wrapText="1"/>
    </xf>
    <xf numFmtId="49" fontId="16" fillId="0" borderId="0" xfId="0" applyNumberFormat="1" applyFont="1" applyFill="1" applyAlignment="1">
      <alignment horizontal="left" wrapText="1"/>
    </xf>
    <xf numFmtId="49" fontId="0" fillId="0" borderId="0" xfId="0" applyNumberFormat="1" applyBorder="1" applyAlignment="1">
      <alignment wrapText="1"/>
    </xf>
    <xf numFmtId="49" fontId="0" fillId="0" borderId="30" xfId="0" applyNumberFormat="1" applyBorder="1" applyAlignment="1">
      <alignment wrapText="1"/>
    </xf>
    <xf numFmtId="0" fontId="0" fillId="0" borderId="49" xfId="0" applyBorder="1"/>
    <xf numFmtId="49" fontId="0" fillId="0" borderId="53" xfId="0" applyNumberFormat="1" applyBorder="1" applyAlignment="1">
      <alignment wrapText="1"/>
    </xf>
    <xf numFmtId="0" fontId="0" fillId="0" borderId="52" xfId="0" applyBorder="1" applyAlignment="1">
      <alignment horizontal="right"/>
    </xf>
    <xf numFmtId="0" fontId="23" fillId="0" borderId="0" xfId="0" applyFont="1" applyFill="1"/>
    <xf numFmtId="3" fontId="0" fillId="46" borderId="54" xfId="0" applyNumberFormat="1" applyFill="1" applyBorder="1"/>
    <xf numFmtId="0" fontId="0" fillId="0" borderId="16" xfId="0" applyBorder="1" applyAlignment="1">
      <alignment horizontal="center"/>
    </xf>
    <xf numFmtId="1" fontId="0" fillId="46" borderId="54" xfId="0" applyNumberFormat="1" applyFill="1" applyBorder="1"/>
    <xf numFmtId="3" fontId="0" fillId="46" borderId="55" xfId="0" applyNumberFormat="1" applyFill="1" applyBorder="1"/>
    <xf numFmtId="164" fontId="0" fillId="46" borderId="55" xfId="0" applyNumberFormat="1" applyFill="1" applyBorder="1"/>
    <xf numFmtId="0" fontId="0" fillId="0" borderId="17" xfId="0" applyBorder="1" applyAlignment="1">
      <alignment horizontal="center"/>
    </xf>
    <xf numFmtId="3" fontId="16" fillId="0" borderId="0" xfId="0" applyNumberFormat="1" applyFont="1" applyFill="1" applyBorder="1" applyAlignment="1">
      <alignment horizontal="center" textRotation="90" wrapText="1"/>
    </xf>
    <xf numFmtId="0" fontId="16" fillId="0" borderId="0" xfId="0" applyFont="1" applyFill="1" applyBorder="1" applyAlignment="1">
      <alignment horizontal="center" vertical="center" wrapText="1"/>
    </xf>
    <xf numFmtId="10" fontId="20" fillId="0" borderId="34" xfId="0" applyNumberFormat="1" applyFont="1" applyBorder="1" applyAlignment="1">
      <alignment horizontal="center" vertical="center"/>
    </xf>
    <xf numFmtId="3" fontId="20" fillId="0" borderId="34" xfId="0" applyNumberFormat="1" applyFont="1" applyBorder="1" applyAlignment="1">
      <alignment horizontal="center" vertical="center"/>
    </xf>
    <xf numFmtId="165" fontId="20" fillId="0" borderId="34" xfId="0" applyNumberFormat="1" applyFont="1" applyFill="1" applyBorder="1" applyAlignment="1">
      <alignment horizontal="center" vertical="center"/>
    </xf>
    <xf numFmtId="49" fontId="19" fillId="0" borderId="18" xfId="0" applyNumberFormat="1" applyFont="1" applyBorder="1" applyAlignment="1">
      <alignment horizontal="center" vertical="center"/>
    </xf>
    <xf numFmtId="49" fontId="19" fillId="0" borderId="20" xfId="0" applyNumberFormat="1" applyFont="1" applyBorder="1" applyAlignment="1">
      <alignment horizontal="center" vertical="center"/>
    </xf>
    <xf numFmtId="0" fontId="0" fillId="0" borderId="57" xfId="0" applyBorder="1" applyAlignment="1">
      <alignment horizontal="center"/>
    </xf>
    <xf numFmtId="10" fontId="20" fillId="0" borderId="58" xfId="0" applyNumberFormat="1" applyFont="1" applyBorder="1" applyAlignment="1">
      <alignment horizontal="center" vertical="center"/>
    </xf>
    <xf numFmtId="3" fontId="0" fillId="0" borderId="46" xfId="0" applyNumberFormat="1" applyBorder="1" applyAlignment="1">
      <alignment horizontal="center"/>
    </xf>
    <xf numFmtId="3" fontId="23" fillId="35" borderId="0" xfId="0" applyNumberFormat="1" applyFont="1" applyFill="1" applyAlignment="1">
      <alignment horizontal="center"/>
    </xf>
    <xf numFmtId="3" fontId="0" fillId="37" borderId="29" xfId="0" applyNumberFormat="1" applyFill="1" applyBorder="1" applyProtection="1">
      <protection locked="0"/>
    </xf>
    <xf numFmtId="0" fontId="14" fillId="0" borderId="0" xfId="0" applyFont="1" applyFill="1" applyBorder="1"/>
    <xf numFmtId="0" fontId="14" fillId="0" borderId="0" xfId="0" applyFont="1" applyAlignment="1">
      <alignment horizontal="right"/>
    </xf>
    <xf numFmtId="0" fontId="16" fillId="34" borderId="29" xfId="0" applyFont="1" applyFill="1" applyBorder="1" applyAlignment="1">
      <alignment horizontal="center" vertical="center" wrapText="1"/>
    </xf>
    <xf numFmtId="0" fontId="0" fillId="0" borderId="19" xfId="0" applyBorder="1" applyAlignment="1">
      <alignment horizontal="center"/>
    </xf>
    <xf numFmtId="49" fontId="14" fillId="0" borderId="0" xfId="0" applyNumberFormat="1" applyFont="1" applyAlignment="1">
      <alignment wrapText="1"/>
    </xf>
    <xf numFmtId="3" fontId="16" fillId="0" borderId="10" xfId="0" applyNumberFormat="1" applyFont="1" applyBorder="1"/>
    <xf numFmtId="1" fontId="16" fillId="0" borderId="10" xfId="0" applyNumberFormat="1" applyFont="1" applyBorder="1"/>
    <xf numFmtId="164" fontId="16" fillId="0" borderId="10" xfId="0" applyNumberFormat="1" applyFont="1" applyBorder="1"/>
    <xf numFmtId="3" fontId="20" fillId="0" borderId="0" xfId="0" applyNumberFormat="1" applyFont="1" applyFill="1" applyBorder="1" applyAlignment="1">
      <alignment horizontal="center" vertical="center"/>
    </xf>
    <xf numFmtId="0" fontId="29" fillId="0" borderId="0" xfId="0" applyFont="1"/>
    <xf numFmtId="3" fontId="0" fillId="46" borderId="10" xfId="0" applyNumberFormat="1" applyFill="1" applyBorder="1"/>
    <xf numFmtId="3" fontId="0" fillId="46" borderId="60" xfId="0" applyNumberFormat="1" applyFill="1" applyBorder="1"/>
    <xf numFmtId="3" fontId="20" fillId="0" borderId="11" xfId="0" applyNumberFormat="1" applyFont="1" applyFill="1" applyBorder="1" applyAlignment="1">
      <alignment horizontal="center" vertical="center"/>
    </xf>
    <xf numFmtId="165" fontId="20" fillId="0" borderId="37" xfId="0" applyNumberFormat="1" applyFont="1" applyFill="1" applyBorder="1" applyAlignment="1">
      <alignment horizontal="center" vertical="center"/>
    </xf>
    <xf numFmtId="165" fontId="20" fillId="0" borderId="44" xfId="0" applyNumberFormat="1" applyFont="1" applyFill="1" applyBorder="1" applyAlignment="1">
      <alignment horizontal="center" vertical="center"/>
    </xf>
    <xf numFmtId="3" fontId="20" fillId="0" borderId="21" xfId="0" applyNumberFormat="1" applyFont="1" applyFill="1" applyBorder="1" applyAlignment="1">
      <alignment horizontal="center" vertical="center"/>
    </xf>
    <xf numFmtId="3" fontId="0" fillId="0" borderId="58" xfId="0" applyNumberFormat="1" applyBorder="1" applyAlignment="1">
      <alignment horizontal="center"/>
    </xf>
    <xf numFmtId="3" fontId="0" fillId="0" borderId="29" xfId="0" applyNumberFormat="1" applyBorder="1" applyAlignment="1">
      <alignment horizontal="center"/>
    </xf>
    <xf numFmtId="165" fontId="20" fillId="0" borderId="29" xfId="0" applyNumberFormat="1" applyFont="1" applyFill="1" applyBorder="1" applyAlignment="1">
      <alignment horizontal="center" vertical="center"/>
    </xf>
    <xf numFmtId="49" fontId="16" fillId="0" borderId="45" xfId="0" applyNumberFormat="1" applyFont="1" applyFill="1" applyBorder="1" applyAlignment="1">
      <alignment horizontal="center" textRotation="90"/>
    </xf>
    <xf numFmtId="3" fontId="16" fillId="0" borderId="46" xfId="0" applyNumberFormat="1" applyFont="1" applyFill="1" applyBorder="1" applyAlignment="1">
      <alignment horizontal="center" textRotation="90" wrapText="1"/>
    </xf>
    <xf numFmtId="3" fontId="16" fillId="47" borderId="46" xfId="0" applyNumberFormat="1" applyFont="1" applyFill="1" applyBorder="1" applyAlignment="1">
      <alignment horizontal="center" textRotation="90" wrapText="1"/>
    </xf>
    <xf numFmtId="3" fontId="16" fillId="47" borderId="47" xfId="0" applyNumberFormat="1" applyFont="1" applyFill="1" applyBorder="1" applyAlignment="1">
      <alignment horizontal="center" textRotation="90" wrapText="1"/>
    </xf>
    <xf numFmtId="3" fontId="16" fillId="33" borderId="57" xfId="0" applyNumberFormat="1" applyFont="1" applyFill="1" applyBorder="1" applyAlignment="1">
      <alignment horizontal="center" textRotation="90" wrapText="1"/>
    </xf>
    <xf numFmtId="0" fontId="0" fillId="0" borderId="47" xfId="0" applyBorder="1" applyAlignment="1">
      <alignment horizontal="center"/>
    </xf>
    <xf numFmtId="0" fontId="0" fillId="0" borderId="47" xfId="0" applyFill="1" applyBorder="1" applyAlignment="1">
      <alignment horizontal="center"/>
    </xf>
    <xf numFmtId="0" fontId="0" fillId="0" borderId="0" xfId="0" applyBorder="1" applyAlignment="1">
      <alignment horizontal="left" vertical="center"/>
    </xf>
    <xf numFmtId="3" fontId="0" fillId="44" borderId="12" xfId="0" applyNumberFormat="1" applyFill="1" applyBorder="1" applyAlignment="1">
      <alignment horizontal="center"/>
    </xf>
    <xf numFmtId="3" fontId="0" fillId="44" borderId="11" xfId="0" applyNumberFormat="1" applyFill="1" applyBorder="1" applyAlignment="1">
      <alignment horizontal="center"/>
    </xf>
    <xf numFmtId="164" fontId="0" fillId="44" borderId="34" xfId="0" applyNumberFormat="1" applyFill="1" applyBorder="1" applyAlignment="1">
      <alignment horizontal="center"/>
    </xf>
    <xf numFmtId="3" fontId="0" fillId="44" borderId="14" xfId="0" applyNumberFormat="1" applyFill="1" applyBorder="1" applyAlignment="1">
      <alignment horizontal="center"/>
    </xf>
    <xf numFmtId="3" fontId="0" fillId="43" borderId="38" xfId="0" applyNumberFormat="1" applyFill="1" applyBorder="1" applyAlignment="1">
      <alignment horizontal="center"/>
    </xf>
    <xf numFmtId="3" fontId="0" fillId="43" borderId="39" xfId="0" applyNumberFormat="1" applyFill="1" applyBorder="1" applyAlignment="1">
      <alignment horizontal="center"/>
    </xf>
    <xf numFmtId="164" fontId="0" fillId="43" borderId="63" xfId="0" applyNumberFormat="1" applyFill="1" applyBorder="1" applyAlignment="1">
      <alignment horizontal="center"/>
    </xf>
    <xf numFmtId="3" fontId="0" fillId="43" borderId="62" xfId="0" applyNumberFormat="1" applyFill="1" applyBorder="1" applyAlignment="1">
      <alignment horizontal="center"/>
    </xf>
    <xf numFmtId="0" fontId="23" fillId="0" borderId="0" xfId="0" applyFont="1" applyAlignment="1">
      <alignment horizontal="center" wrapText="1"/>
    </xf>
    <xf numFmtId="3" fontId="20" fillId="37" borderId="10" xfId="0" applyNumberFormat="1" applyFont="1" applyFill="1" applyBorder="1" applyAlignment="1" applyProtection="1">
      <alignment horizontal="center" vertical="center"/>
      <protection locked="0"/>
    </xf>
    <xf numFmtId="0" fontId="0" fillId="37" borderId="10" xfId="0" applyFill="1" applyBorder="1" applyAlignment="1" applyProtection="1">
      <alignment horizontal="center" vertical="center"/>
      <protection locked="0"/>
    </xf>
    <xf numFmtId="3" fontId="20" fillId="37" borderId="54" xfId="0" applyNumberFormat="1" applyFont="1" applyFill="1" applyBorder="1" applyAlignment="1" applyProtection="1">
      <alignment horizontal="center" vertical="center"/>
      <protection locked="0"/>
    </xf>
    <xf numFmtId="3" fontId="20" fillId="37" borderId="55" xfId="0" applyNumberFormat="1" applyFont="1" applyFill="1" applyBorder="1" applyAlignment="1" applyProtection="1">
      <alignment horizontal="center" vertical="center"/>
      <protection locked="0"/>
    </xf>
    <xf numFmtId="3" fontId="20" fillId="37" borderId="56" xfId="0" applyNumberFormat="1" applyFont="1" applyFill="1" applyBorder="1" applyAlignment="1" applyProtection="1">
      <alignment horizontal="center" vertical="center"/>
      <protection locked="0"/>
    </xf>
    <xf numFmtId="3" fontId="20" fillId="37" borderId="13" xfId="0" applyNumberFormat="1" applyFont="1" applyFill="1" applyBorder="1" applyAlignment="1" applyProtection="1">
      <alignment horizontal="center" vertical="center"/>
      <protection locked="0"/>
    </xf>
    <xf numFmtId="3" fontId="20" fillId="37" borderId="23" xfId="0" applyNumberFormat="1" applyFont="1" applyFill="1" applyBorder="1" applyAlignment="1" applyProtection="1">
      <alignment horizontal="center" vertical="center"/>
      <protection locked="0"/>
    </xf>
    <xf numFmtId="0" fontId="0" fillId="37" borderId="13" xfId="0" applyFill="1" applyBorder="1" applyAlignment="1" applyProtection="1">
      <alignment horizontal="center" vertical="center"/>
      <protection locked="0"/>
    </xf>
    <xf numFmtId="0" fontId="0" fillId="37" borderId="23" xfId="0" applyFill="1" applyBorder="1" applyAlignment="1" applyProtection="1">
      <alignment horizontal="center" vertical="center"/>
      <protection locked="0"/>
    </xf>
    <xf numFmtId="0" fontId="0" fillId="37" borderId="59" xfId="0" applyFill="1" applyBorder="1" applyAlignment="1" applyProtection="1">
      <alignment horizontal="center" vertical="center"/>
      <protection locked="0"/>
    </xf>
    <xf numFmtId="0" fontId="0" fillId="37" borderId="60" xfId="0" applyFill="1" applyBorder="1" applyAlignment="1" applyProtection="1">
      <alignment horizontal="center" vertical="center"/>
      <protection locked="0"/>
    </xf>
    <xf numFmtId="0" fontId="0" fillId="37" borderId="61" xfId="0" applyFill="1" applyBorder="1" applyAlignment="1" applyProtection="1">
      <alignment horizontal="center" vertical="center"/>
      <protection locked="0"/>
    </xf>
    <xf numFmtId="49" fontId="16" fillId="0" borderId="0" xfId="0" applyNumberFormat="1" applyFont="1" applyAlignment="1"/>
    <xf numFmtId="49" fontId="0" fillId="0" borderId="0" xfId="0" applyNumberFormat="1" applyAlignment="1"/>
    <xf numFmtId="49" fontId="16" fillId="0" borderId="0" xfId="0" applyNumberFormat="1" applyFont="1" applyAlignment="1">
      <alignment wrapText="1"/>
    </xf>
    <xf numFmtId="0" fontId="29" fillId="0" borderId="0" xfId="0" applyFont="1" applyAlignment="1">
      <alignment horizontal="right"/>
    </xf>
    <xf numFmtId="0" fontId="0" fillId="0" borderId="18" xfId="0" applyBorder="1" applyAlignment="1">
      <alignment horizontal="center"/>
    </xf>
    <xf numFmtId="0" fontId="0" fillId="0" borderId="19" xfId="0" applyBorder="1" applyAlignment="1">
      <alignment horizontal="center"/>
    </xf>
    <xf numFmtId="0" fontId="0" fillId="0" borderId="17" xfId="0" applyBorder="1" applyAlignment="1">
      <alignment horizontal="center" vertical="center"/>
    </xf>
    <xf numFmtId="0" fontId="0" fillId="0" borderId="22" xfId="0" applyBorder="1" applyAlignment="1">
      <alignment horizontal="center" vertical="center"/>
    </xf>
    <xf numFmtId="49" fontId="16" fillId="0" borderId="15" xfId="0" applyNumberFormat="1" applyFont="1" applyBorder="1" applyAlignment="1">
      <alignment horizontal="center" vertical="center"/>
    </xf>
    <xf numFmtId="49" fontId="16" fillId="0" borderId="17" xfId="0" applyNumberFormat="1"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49" fontId="27" fillId="35" borderId="0" xfId="0" applyNumberFormat="1" applyFont="1" applyFill="1" applyAlignment="1">
      <alignment horizontal="left" wrapText="1"/>
    </xf>
    <xf numFmtId="164" fontId="18" fillId="35" borderId="25" xfId="0" applyNumberFormat="1" applyFont="1" applyFill="1" applyBorder="1" applyAlignment="1">
      <alignment horizontal="center" vertical="center" wrapText="1"/>
    </xf>
    <xf numFmtId="164" fontId="18" fillId="35" borderId="51" xfId="0" applyNumberFormat="1" applyFont="1" applyFill="1" applyBorder="1" applyAlignment="1">
      <alignment horizontal="center"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49" fontId="27" fillId="37" borderId="0" xfId="0" applyNumberFormat="1" applyFont="1" applyFill="1" applyAlignment="1">
      <alignment horizontal="left" wrapText="1"/>
    </xf>
    <xf numFmtId="49" fontId="16" fillId="37" borderId="0" xfId="0" applyNumberFormat="1" applyFont="1" applyFill="1" applyAlignment="1">
      <alignment horizontal="left" wrapText="1"/>
    </xf>
    <xf numFmtId="49" fontId="26" fillId="37" borderId="0" xfId="0" applyNumberFormat="1" applyFont="1" applyFill="1" applyAlignment="1">
      <alignment horizontal="left" wrapText="1"/>
    </xf>
    <xf numFmtId="49" fontId="0" fillId="37" borderId="0" xfId="0" applyNumberFormat="1" applyFill="1" applyAlignment="1">
      <alignment horizontal="left" wrapText="1"/>
    </xf>
    <xf numFmtId="49" fontId="16" fillId="0" borderId="0" xfId="0" applyNumberFormat="1" applyFont="1" applyFill="1" applyAlignment="1">
      <alignment horizontal="center" wrapText="1"/>
    </xf>
  </cellXfs>
  <cellStyles count="42">
    <cellStyle name="20% - Akzent1" xfId="19" builtinId="30" customBuiltin="1"/>
    <cellStyle name="20% - Akzent2" xfId="23" builtinId="34" customBuiltin="1"/>
    <cellStyle name="20% - Akzent3" xfId="27" builtinId="38" customBuiltin="1"/>
    <cellStyle name="20% - Akzent4" xfId="31" builtinId="42" customBuiltin="1"/>
    <cellStyle name="20% - Akzent5" xfId="35" builtinId="46" customBuiltin="1"/>
    <cellStyle name="20% - Akzent6" xfId="39" builtinId="50" customBuiltin="1"/>
    <cellStyle name="40% - Akzent1" xfId="20" builtinId="31" customBuiltin="1"/>
    <cellStyle name="40% - Akzent2" xfId="24" builtinId="35" customBuiltin="1"/>
    <cellStyle name="40% - Akzent3" xfId="28" builtinId="39" customBuiltin="1"/>
    <cellStyle name="40% - Akzent4" xfId="32" builtinId="43" customBuiltin="1"/>
    <cellStyle name="40% - Akzent5" xfId="36" builtinId="47" customBuiltin="1"/>
    <cellStyle name="40% - Akzent6" xfId="40" builtinId="51" customBuiltin="1"/>
    <cellStyle name="60% - Akzent1" xfId="21" builtinId="32" customBuiltin="1"/>
    <cellStyle name="60% - Akzent2" xfId="25" builtinId="36" customBuiltin="1"/>
    <cellStyle name="60% - Akzent3" xfId="29" builtinId="40" customBuiltin="1"/>
    <cellStyle name="60% - Akzent4" xfId="33" builtinId="44" customBuiltin="1"/>
    <cellStyle name="60% - Akzent5" xfId="37" builtinId="48" customBuiltin="1"/>
    <cellStyle name="60%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fill>
        <patternFill>
          <bgColor rgb="FFFF0000"/>
        </patternFill>
      </fill>
    </dxf>
  </dxfs>
  <tableStyles count="0" defaultTableStyle="TableStyleMedium9" defaultPivotStyle="PivotStyleLight16"/>
  <colors>
    <mruColors>
      <color rgb="FFFFE989"/>
      <color rgb="FFF6C700"/>
      <color rgb="FFE4F9B1"/>
      <color rgb="FFCADFBF"/>
      <color rgb="FFFFB633"/>
      <color rgb="FFDE2304"/>
      <color rgb="FFFF6600"/>
      <color rgb="FFAFD1CB"/>
      <color rgb="FFCC0000"/>
      <color rgb="FFD7D997"/>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baseline="0"/>
              <a:t>Heizeffizienz</a:t>
            </a:r>
          </a:p>
          <a:p>
            <a:pPr>
              <a:defRPr/>
            </a:pPr>
            <a:r>
              <a:rPr lang="en-US" sz="1200" b="0"/>
              <a:t>Dieser Durchschnittswert gibt an welche Leistung(W) benötigt wird, um in ihrer Gärtnerei einen Quadratmeter Grundfläche um ein Kelvin zu heizen.                                                                                         Beim Verb</a:t>
            </a:r>
          </a:p>
        </c:rich>
      </c:tx>
      <c:layout/>
    </c:title>
    <c:plotArea>
      <c:layout/>
      <c:barChart>
        <c:barDir val="col"/>
        <c:grouping val="clustered"/>
        <c:ser>
          <c:idx val="0"/>
          <c:order val="0"/>
          <c:tx>
            <c:strRef>
              <c:f>Arbeitslisten!$J$3</c:f>
              <c:strCache>
                <c:ptCount val="1"/>
                <c:pt idx="0">
                  <c:v>W/K*m²</c:v>
                </c:pt>
              </c:strCache>
            </c:strRef>
          </c:tx>
          <c:spPr>
            <a:noFill/>
          </c:spPr>
          <c:val>
            <c:numRef>
              <c:f>Arbeitslisten!$J$4:$J$28</c:f>
              <c:numCache>
                <c:formatCode>0.0000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Arbeitslisten!$K$3</c:f>
              <c:strCache>
                <c:ptCount val="1"/>
                <c:pt idx="0">
                  <c:v>Klasse</c:v>
                </c:pt>
              </c:strCache>
            </c:strRef>
          </c:tx>
          <c:val>
            <c:numRef>
              <c:f>Arbeitslisten!$K$4:$K$28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110535424"/>
        <c:axId val="110537344"/>
      </c:barChart>
      <c:catAx>
        <c:axId val="110535424"/>
        <c:scaling>
          <c:orientation val="minMax"/>
        </c:scaling>
        <c:axPos val="b"/>
        <c:title>
          <c:tx>
            <c:rich>
              <a:bodyPr/>
              <a:lstStyle/>
              <a:p>
                <a:pPr>
                  <a:defRPr/>
                </a:pPr>
                <a:r>
                  <a:rPr lang="de-DE" sz="1000" b="1" i="0" u="none" strike="noStrike" baseline="0"/>
                  <a:t>Gewächshäuser</a:t>
                </a:r>
                <a:endParaRPr lang="de-DE"/>
              </a:p>
            </c:rich>
          </c:tx>
          <c:layout/>
        </c:title>
        <c:majorTickMark val="none"/>
        <c:tickLblPos val="nextTo"/>
        <c:crossAx val="110537344"/>
        <c:crossesAt val="0"/>
        <c:auto val="1"/>
        <c:lblAlgn val="ctr"/>
        <c:lblOffset val="100"/>
      </c:catAx>
      <c:valAx>
        <c:axId val="110537344"/>
        <c:scaling>
          <c:orientation val="minMax"/>
          <c:max val="10"/>
          <c:min val="0"/>
        </c:scaling>
        <c:axPos val="l"/>
        <c:majorGridlines/>
        <c:title>
          <c:tx>
            <c:rich>
              <a:bodyPr rot="-5400000" vert="horz"/>
              <a:lstStyle/>
              <a:p>
                <a:pPr>
                  <a:defRPr/>
                </a:pPr>
                <a:r>
                  <a:rPr lang="en-US"/>
                  <a:t>Klasse</a:t>
                </a:r>
              </a:p>
            </c:rich>
          </c:tx>
          <c:layout/>
        </c:title>
        <c:numFmt formatCode="0" sourceLinked="0"/>
        <c:majorTickMark val="none"/>
        <c:tickLblPos val="nextTo"/>
        <c:crossAx val="110535424"/>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800" b="1" i="0" baseline="0"/>
              <a:t>Jährlicher Energieverbrauch</a:t>
            </a:r>
          </a:p>
          <a:p>
            <a:pPr>
              <a:defRPr/>
            </a:pPr>
            <a:r>
              <a:rPr lang="en-US" sz="1200" b="0" i="0" baseline="0"/>
              <a:t>Der Verbrauch je Gewächshaus ergibt sich aus dem Gesamtenergieverbrauchs des Betriebes (s.u.) , verteilt nach den in der Simulation ermittelten Verhätnisanteilen.</a:t>
            </a:r>
          </a:p>
        </c:rich>
      </c:tx>
      <c:layout/>
    </c:title>
    <c:plotArea>
      <c:layout/>
      <c:barChart>
        <c:barDir val="col"/>
        <c:grouping val="clustered"/>
        <c:ser>
          <c:idx val="0"/>
          <c:order val="0"/>
          <c:tx>
            <c:strRef>
              <c:f>Arbeitslisten!$B$3</c:f>
              <c:strCache>
                <c:ptCount val="1"/>
                <c:pt idx="0">
                  <c:v>kWh</c:v>
                </c:pt>
              </c:strCache>
            </c:strRef>
          </c:tx>
          <c:spPr>
            <a:noFill/>
          </c:spPr>
          <c:val>
            <c:numRef>
              <c:f>Arbeitslisten!$B$4:$B$28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Arbeitslisten!$C$3</c:f>
              <c:strCache>
                <c:ptCount val="1"/>
                <c:pt idx="0">
                  <c:v>Klasse</c:v>
                </c:pt>
              </c:strCache>
            </c:strRef>
          </c:tx>
          <c:val>
            <c:numRef>
              <c:f>Arbeitslisten!$C$4:$C$28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2"/>
          <c:tx>
            <c:strRef>
              <c:f>Arbeitslisten!$C$46</c:f>
              <c:strCache>
                <c:ptCount val="1"/>
                <c:pt idx="0">
                  <c:v>Rel. Anteil</c:v>
                </c:pt>
              </c:strCache>
            </c:strRef>
          </c:tx>
          <c:spPr>
            <a:noFill/>
            <a:ln>
              <a:noFill/>
            </a:ln>
          </c:spPr>
          <c:val>
            <c:numRef>
              <c:f>Arbeitslisten!$C$47:$C$71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112113536"/>
        <c:axId val="112115712"/>
      </c:barChart>
      <c:catAx>
        <c:axId val="112113536"/>
        <c:scaling>
          <c:orientation val="minMax"/>
        </c:scaling>
        <c:axPos val="b"/>
        <c:title>
          <c:tx>
            <c:rich>
              <a:bodyPr/>
              <a:lstStyle/>
              <a:p>
                <a:pPr>
                  <a:defRPr/>
                </a:pPr>
                <a:r>
                  <a:rPr lang="de-DE" sz="1000" b="1" i="0" u="none" strike="noStrike" baseline="0"/>
                  <a:t>Gewächshäuser</a:t>
                </a:r>
                <a:endParaRPr lang="de-DE"/>
              </a:p>
            </c:rich>
          </c:tx>
          <c:layout/>
        </c:title>
        <c:majorTickMark val="none"/>
        <c:tickLblPos val="nextTo"/>
        <c:crossAx val="112115712"/>
        <c:crosses val="autoZero"/>
        <c:auto val="1"/>
        <c:lblAlgn val="ctr"/>
        <c:lblOffset val="100"/>
      </c:catAx>
      <c:valAx>
        <c:axId val="112115712"/>
        <c:scaling>
          <c:orientation val="minMax"/>
          <c:max val="10"/>
          <c:min val="0"/>
        </c:scaling>
        <c:axPos val="l"/>
        <c:majorGridlines/>
        <c:title>
          <c:tx>
            <c:rich>
              <a:bodyPr/>
              <a:lstStyle/>
              <a:p>
                <a:pPr>
                  <a:defRPr/>
                </a:pPr>
                <a:r>
                  <a:rPr lang="en-US"/>
                  <a:t>Klasse</a:t>
                </a:r>
              </a:p>
            </c:rich>
          </c:tx>
          <c:layout/>
        </c:title>
        <c:numFmt formatCode="#,##0" sourceLinked="1"/>
        <c:majorTickMark val="none"/>
        <c:tickLblPos val="nextTo"/>
        <c:crossAx val="112113536"/>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800" b="1" i="0" baseline="0"/>
              <a:t>Spezifischer jährlicher Energieverbrauch</a:t>
            </a:r>
          </a:p>
          <a:p>
            <a:pPr>
              <a:defRPr/>
            </a:pPr>
            <a:r>
              <a:rPr lang="de-DE" sz="1200" b="0"/>
              <a:t>Der Verbrauch je m² ergibt sich aus dem Verbrauch je Gewächshaus, bezogen auf die von Ihnen genannte Grundfläche des jeweiligen Gewächshauses. </a:t>
            </a:r>
          </a:p>
        </c:rich>
      </c:tx>
      <c:layout/>
    </c:title>
    <c:plotArea>
      <c:layout/>
      <c:barChart>
        <c:barDir val="col"/>
        <c:grouping val="clustered"/>
        <c:ser>
          <c:idx val="0"/>
          <c:order val="0"/>
          <c:tx>
            <c:strRef>
              <c:f>Arbeitslisten!$D$3</c:f>
              <c:strCache>
                <c:ptCount val="1"/>
                <c:pt idx="0">
                  <c:v>kWh/m²</c:v>
                </c:pt>
              </c:strCache>
            </c:strRef>
          </c:tx>
          <c:spPr>
            <a:noFill/>
          </c:spPr>
          <c:val>
            <c:numRef>
              <c:f>Arbeitslisten!$D$4:$D$28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Arbeitslisten!$E$3</c:f>
              <c:strCache>
                <c:ptCount val="1"/>
                <c:pt idx="0">
                  <c:v>Klasse</c:v>
                </c:pt>
              </c:strCache>
            </c:strRef>
          </c:tx>
          <c:val>
            <c:numRef>
              <c:f>Arbeitslisten!$E$4:$E$28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112399872"/>
        <c:axId val="112401792"/>
      </c:barChart>
      <c:catAx>
        <c:axId val="112399872"/>
        <c:scaling>
          <c:orientation val="minMax"/>
        </c:scaling>
        <c:axPos val="b"/>
        <c:title>
          <c:tx>
            <c:rich>
              <a:bodyPr/>
              <a:lstStyle/>
              <a:p>
                <a:pPr>
                  <a:defRPr/>
                </a:pPr>
                <a:r>
                  <a:rPr lang="de-DE" sz="1000" b="1" i="0" u="none" strike="noStrike" baseline="0"/>
                  <a:t>Gewächshäuser</a:t>
                </a:r>
                <a:endParaRPr lang="de-DE"/>
              </a:p>
            </c:rich>
          </c:tx>
          <c:layout/>
        </c:title>
        <c:majorTickMark val="none"/>
        <c:tickLblPos val="nextTo"/>
        <c:crossAx val="112401792"/>
        <c:crosses val="autoZero"/>
        <c:auto val="1"/>
        <c:lblAlgn val="ctr"/>
        <c:lblOffset val="100"/>
      </c:catAx>
      <c:valAx>
        <c:axId val="112401792"/>
        <c:scaling>
          <c:orientation val="minMax"/>
          <c:max val="10"/>
          <c:min val="0"/>
        </c:scaling>
        <c:axPos val="l"/>
        <c:majorGridlines/>
        <c:title>
          <c:tx>
            <c:rich>
              <a:bodyPr/>
              <a:lstStyle/>
              <a:p>
                <a:pPr>
                  <a:defRPr/>
                </a:pPr>
                <a:r>
                  <a:rPr lang="en-US"/>
                  <a:t>Klasse</a:t>
                </a:r>
              </a:p>
            </c:rich>
          </c:tx>
          <c:layout/>
        </c:title>
        <c:numFmt formatCode="0" sourceLinked="1"/>
        <c:majorTickMark val="none"/>
        <c:tickLblPos val="nextTo"/>
        <c:crossAx val="112399872"/>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800" b="1" i="0" baseline="0"/>
              <a:t>Spezifischer Heizbedarf</a:t>
            </a:r>
          </a:p>
          <a:p>
            <a:pPr>
              <a:defRPr/>
            </a:pPr>
            <a:r>
              <a:rPr lang="en-US" sz="1200" b="0" i="0" baseline="0"/>
              <a:t>Zeigt, wie stark die jeweilige Gewächshausfläche durchschnittlich beheizt wird (Gradstunden). </a:t>
            </a:r>
            <a:endParaRPr lang="de-DE" sz="1200" b="0"/>
          </a:p>
        </c:rich>
      </c:tx>
      <c:layout/>
    </c:title>
    <c:plotArea>
      <c:layout/>
      <c:barChart>
        <c:barDir val="col"/>
        <c:grouping val="clustered"/>
        <c:ser>
          <c:idx val="0"/>
          <c:order val="0"/>
          <c:tx>
            <c:strRef>
              <c:f>Arbeitslisten!$H$3</c:f>
              <c:strCache>
                <c:ptCount val="1"/>
                <c:pt idx="0">
                  <c:v>K*h/m²</c:v>
                </c:pt>
              </c:strCache>
            </c:strRef>
          </c:tx>
          <c:spPr>
            <a:noFill/>
            <a:ln>
              <a:noFill/>
            </a:ln>
          </c:spPr>
          <c:val>
            <c:numRef>
              <c:f>Arbeitslisten!$H$4:$H$28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1"/>
          <c:order val="1"/>
          <c:tx>
            <c:strRef>
              <c:f>Arbeitslisten!$I$3</c:f>
              <c:strCache>
                <c:ptCount val="1"/>
                <c:pt idx="0">
                  <c:v>Klasse</c:v>
                </c:pt>
              </c:strCache>
            </c:strRef>
          </c:tx>
          <c:val>
            <c:numRef>
              <c:f>Arbeitslisten!$I$4:$I$28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axId val="101713408"/>
        <c:axId val="101715328"/>
      </c:barChart>
      <c:catAx>
        <c:axId val="101713408"/>
        <c:scaling>
          <c:orientation val="minMax"/>
        </c:scaling>
        <c:axPos val="b"/>
        <c:title>
          <c:tx>
            <c:rich>
              <a:bodyPr/>
              <a:lstStyle/>
              <a:p>
                <a:pPr>
                  <a:defRPr/>
                </a:pPr>
                <a:r>
                  <a:rPr lang="de-DE" sz="1000" b="1" i="0" u="none" strike="noStrike" baseline="0"/>
                  <a:t>Gewächshäuser</a:t>
                </a:r>
                <a:endParaRPr lang="de-DE"/>
              </a:p>
            </c:rich>
          </c:tx>
          <c:layout/>
        </c:title>
        <c:majorTickMark val="none"/>
        <c:tickLblPos val="nextTo"/>
        <c:crossAx val="101715328"/>
        <c:crosses val="autoZero"/>
        <c:auto val="1"/>
        <c:lblAlgn val="ctr"/>
        <c:lblOffset val="100"/>
      </c:catAx>
      <c:valAx>
        <c:axId val="101715328"/>
        <c:scaling>
          <c:orientation val="minMax"/>
          <c:max val="10"/>
          <c:min val="0"/>
        </c:scaling>
        <c:axPos val="l"/>
        <c:majorGridlines/>
        <c:title>
          <c:tx>
            <c:rich>
              <a:bodyPr/>
              <a:lstStyle/>
              <a:p>
                <a:pPr>
                  <a:defRPr/>
                </a:pPr>
                <a:r>
                  <a:rPr lang="en-US"/>
                  <a:t>Klasse</a:t>
                </a:r>
              </a:p>
            </c:rich>
          </c:tx>
          <c:layout/>
        </c:title>
        <c:numFmt formatCode="#,##0" sourceLinked="1"/>
        <c:majorTickMark val="none"/>
        <c:tickLblPos val="nextTo"/>
        <c:crossAx val="101713408"/>
        <c:crosses val="autoZero"/>
        <c:crossBetween val="between"/>
        <c:majorUnit val="1"/>
      </c:valAx>
      <c:dTable>
        <c:showHorzBorder val="1"/>
        <c:showVertBorder val="1"/>
        <c:showOutline val="1"/>
      </c:dTable>
      <c:spPr>
        <a:gradFill>
          <a:gsLst>
            <a:gs pos="0">
              <a:srgbClr val="4F81BD"/>
            </a:gs>
            <a:gs pos="60000">
              <a:srgbClr val="FFC000"/>
            </a:gs>
            <a:gs pos="64999">
              <a:srgbClr val="FFB633"/>
            </a:gs>
            <a:gs pos="89999">
              <a:srgbClr val="FF0000"/>
            </a:gs>
            <a:gs pos="100000">
              <a:srgbClr val="FF8200"/>
            </a:gs>
          </a:gsLst>
          <a:lin ang="16200000" scaled="0"/>
        </a:gradFill>
      </c:spPr>
    </c:plotArea>
    <c:plotVisOnly val="1"/>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47623</xdr:colOff>
      <xdr:row>125</xdr:row>
      <xdr:rowOff>180974</xdr:rowOff>
    </xdr:from>
    <xdr:to>
      <xdr:col>12</xdr:col>
      <xdr:colOff>152400</xdr:colOff>
      <xdr:row>141</xdr:row>
      <xdr:rowOff>76200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79</xdr:row>
      <xdr:rowOff>85725</xdr:rowOff>
    </xdr:from>
    <xdr:to>
      <xdr:col>12</xdr:col>
      <xdr:colOff>142875</xdr:colOff>
      <xdr:row>94</xdr:row>
      <xdr:rowOff>142875</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95</xdr:row>
      <xdr:rowOff>85725</xdr:rowOff>
    </xdr:from>
    <xdr:to>
      <xdr:col>12</xdr:col>
      <xdr:colOff>161925</xdr:colOff>
      <xdr:row>109</xdr:row>
      <xdr:rowOff>133350</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110</xdr:row>
      <xdr:rowOff>104775</xdr:rowOff>
    </xdr:from>
    <xdr:to>
      <xdr:col>12</xdr:col>
      <xdr:colOff>161925</xdr:colOff>
      <xdr:row>124</xdr:row>
      <xdr:rowOff>76200</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Tabelle1"/>
  <dimension ref="A1:X197"/>
  <sheetViews>
    <sheetView showGridLines="0" topLeftCell="A28" zoomScaleNormal="100" workbookViewId="0">
      <selection activeCell="C51" sqref="C51"/>
    </sheetView>
  </sheetViews>
  <sheetFormatPr baseColWidth="10" defaultRowHeight="15"/>
  <cols>
    <col min="1" max="1" width="29.140625" style="28" customWidth="1"/>
    <col min="2" max="12" width="18.140625" customWidth="1"/>
    <col min="13" max="14" width="13.28515625" customWidth="1"/>
    <col min="15" max="15" width="12.140625" customWidth="1"/>
    <col min="16" max="16" width="12" customWidth="1"/>
    <col min="18" max="18" width="13.5703125" customWidth="1"/>
    <col min="19" max="19" width="13.7109375" customWidth="1"/>
    <col min="20" max="20" width="12.28515625" customWidth="1"/>
    <col min="21" max="21" width="13.28515625" bestFit="1" customWidth="1"/>
    <col min="24" max="24" width="10.42578125" customWidth="1"/>
  </cols>
  <sheetData>
    <row r="1" spans="1:12" ht="45" customHeight="1">
      <c r="A1" s="300" t="s">
        <v>51</v>
      </c>
      <c r="B1" s="301"/>
      <c r="C1" s="301"/>
      <c r="D1" s="301"/>
      <c r="E1" s="301"/>
    </row>
    <row r="2" spans="1:12" ht="15.75" thickBot="1">
      <c r="B2" s="26"/>
      <c r="C2" s="43"/>
    </row>
    <row r="3" spans="1:12" ht="15.75" thickBot="1">
      <c r="B3" s="45" t="s">
        <v>63</v>
      </c>
      <c r="C3" s="37"/>
      <c r="D3" s="26" t="s">
        <v>41</v>
      </c>
    </row>
    <row r="4" spans="1:12" ht="15.75" thickBot="1">
      <c r="A4"/>
      <c r="I4" s="9"/>
      <c r="J4" s="9"/>
      <c r="K4" s="9"/>
      <c r="L4" s="9"/>
    </row>
    <row r="5" spans="1:12">
      <c r="A5" t="s">
        <v>50</v>
      </c>
      <c r="B5" s="20" t="s">
        <v>42</v>
      </c>
      <c r="C5" s="21" t="s">
        <v>90</v>
      </c>
      <c r="D5" s="22" t="s">
        <v>52</v>
      </c>
      <c r="E5" s="80" t="s">
        <v>41</v>
      </c>
    </row>
    <row r="6" spans="1:12">
      <c r="A6"/>
      <c r="B6" s="35" t="s">
        <v>44</v>
      </c>
      <c r="C6" s="23" t="str">
        <f>IF(B6=Arbeitslisten!G$36,Arbeitslisten!I$36,IF(B6=Arbeitslisten!G$37,Arbeitslisten!I$37,IF(B6=Arbeitslisten!G$40,Arbeitslisten!I$40,IF(B6=Arbeitslisten!G$41,Arbeitslisten!I$41,IF(B6=Arbeitslisten!G$39,Arbeitslisten!I$39,IF(B6=Arbeitslisten!G$38,Arbeitslisten!I$38,IF(B6=Arbeitslisten!G$42,Arbeitslisten!I$42,"keine Auswahl")))))))</f>
        <v>keine Auswahl</v>
      </c>
      <c r="D6" s="33"/>
      <c r="E6" s="36">
        <f t="array" ref="E6">SUM(IF(ISNUMBER(C6*D6),C6*D6))</f>
        <v>0</v>
      </c>
    </row>
    <row r="7" spans="1:12">
      <c r="A7"/>
      <c r="B7" s="35" t="s">
        <v>44</v>
      </c>
      <c r="C7" s="23" t="str">
        <f>IF(B7=Arbeitslisten!G$36,Arbeitslisten!I$36,IF(B7=Arbeitslisten!G$37,Arbeitslisten!I$37,IF(B7=Arbeitslisten!G$40,Arbeitslisten!I$40,IF(B7=Arbeitslisten!G$41,Arbeitslisten!I$41,IF(B7=Arbeitslisten!G$39,Arbeitslisten!I$39,IF(B7=Arbeitslisten!G$38,Arbeitslisten!I$38,IF(B7=Arbeitslisten!G$42,Arbeitslisten!I$42,"keine Auswahl")))))))</f>
        <v>keine Auswahl</v>
      </c>
      <c r="D7" s="33"/>
      <c r="E7" s="36">
        <f t="array" ref="E7">SUM(IF(ISNUMBER(C7*D7),C7*D7))</f>
        <v>0</v>
      </c>
    </row>
    <row r="8" spans="1:12">
      <c r="A8"/>
      <c r="B8" s="35" t="s">
        <v>44</v>
      </c>
      <c r="C8" s="23" t="str">
        <f>IF(B8=Arbeitslisten!G$36,Arbeitslisten!I$36,IF(B8=Arbeitslisten!G$37,Arbeitslisten!I$37,IF(B8=Arbeitslisten!G$40,Arbeitslisten!I$40,IF(B8=Arbeitslisten!G$41,Arbeitslisten!I$41,IF(B8=Arbeitslisten!G$39,Arbeitslisten!I$39,IF(B8=Arbeitslisten!G$38,Arbeitslisten!I$38,IF(B8=Arbeitslisten!G$42,Arbeitslisten!I$42,"keine Auswahl")))))))</f>
        <v>keine Auswahl</v>
      </c>
      <c r="D8" s="33"/>
      <c r="E8" s="36">
        <f t="array" ref="E8">SUM(IF(ISNUMBER(C8*D8),C8*D8))</f>
        <v>0</v>
      </c>
    </row>
    <row r="9" spans="1:12">
      <c r="A9"/>
      <c r="B9" s="35" t="s">
        <v>44</v>
      </c>
      <c r="C9" s="23" t="str">
        <f>IF(B9=Arbeitslisten!G$36,Arbeitslisten!I$36,IF(B9=Arbeitslisten!G$37,Arbeitslisten!I$37,IF(B9=Arbeitslisten!G$40,Arbeitslisten!I$40,IF(B9=Arbeitslisten!G$41,Arbeitslisten!I$41,IF(B9=Arbeitslisten!G$39,Arbeitslisten!I$39,IF(B9=Arbeitslisten!G$38,Arbeitslisten!I$38,IF(B9=Arbeitslisten!G$42,Arbeitslisten!I$42,"keine Auswahl")))))))</f>
        <v>keine Auswahl</v>
      </c>
      <c r="D9" s="33"/>
      <c r="E9" s="36">
        <f t="array" ref="E9">SUM(IF(ISNUMBER(C9*D9),C9*D9))</f>
        <v>0</v>
      </c>
    </row>
    <row r="10" spans="1:12">
      <c r="A10"/>
      <c r="B10" s="35" t="s">
        <v>44</v>
      </c>
      <c r="C10" s="23" t="str">
        <f>IF(B10=Arbeitslisten!G$36,Arbeitslisten!I$36,IF(B10=Arbeitslisten!G$37,Arbeitslisten!I$37,IF(B10=Arbeitslisten!G$40,Arbeitslisten!I$40,IF(B10=Arbeitslisten!G$41,Arbeitslisten!I$41,IF(B10=Arbeitslisten!G$39,Arbeitslisten!I$39,IF(B10=Arbeitslisten!G$38,Arbeitslisten!I$38,IF(B10=Arbeitslisten!G$42,Arbeitslisten!I$42,"keine Auswahl")))))))</f>
        <v>keine Auswahl</v>
      </c>
      <c r="D10" s="33"/>
      <c r="E10" s="36">
        <f t="array" ref="E10">SUM(IF(ISNUMBER(C10*D10),C10*D10))</f>
        <v>0</v>
      </c>
    </row>
    <row r="11" spans="1:12">
      <c r="A11"/>
      <c r="B11" s="35" t="s">
        <v>44</v>
      </c>
      <c r="C11" s="23" t="str">
        <f>IF(B11=Arbeitslisten!G$36,Arbeitslisten!I$36,IF(B11=Arbeitslisten!G$37,Arbeitslisten!I$37,IF(B11=Arbeitslisten!G$40,Arbeitslisten!I$40,IF(B11=Arbeitslisten!G$41,Arbeitslisten!I$41,IF(B11=Arbeitslisten!G$39,Arbeitslisten!I$39,IF(B11=Arbeitslisten!G$38,Arbeitslisten!I$38,IF(B11=Arbeitslisten!G$42,Arbeitslisten!I$42,"keine Auswahl")))))))</f>
        <v>keine Auswahl</v>
      </c>
      <c r="D11" s="33"/>
      <c r="E11" s="36">
        <f t="array" ref="E11">SUM(IF(ISNUMBER(C11*D11),C11*D11))</f>
        <v>0</v>
      </c>
    </row>
    <row r="12" spans="1:12">
      <c r="A12"/>
      <c r="B12" s="35" t="s">
        <v>44</v>
      </c>
      <c r="C12" s="23" t="str">
        <f>IF(B12=Arbeitslisten!G$36,Arbeitslisten!I$36,IF(B12=Arbeitslisten!G$37,Arbeitslisten!I$37,IF(B12=Arbeitslisten!G$40,Arbeitslisten!I$40,IF(B12=Arbeitslisten!G$41,Arbeitslisten!I$41,IF(B12=Arbeitslisten!G$39,Arbeitslisten!I$39,IF(B12=Arbeitslisten!G$38,Arbeitslisten!I$38,IF(B12=Arbeitslisten!G$42,Arbeitslisten!I$42,"keine Auswahl")))))))</f>
        <v>keine Auswahl</v>
      </c>
      <c r="D12" s="33"/>
      <c r="E12" s="36">
        <f t="array" ref="E12">SUM(IF(ISNUMBER(C12*D12),C12*D12))</f>
        <v>0</v>
      </c>
    </row>
    <row r="13" spans="1:12">
      <c r="A13"/>
      <c r="B13" s="35" t="s">
        <v>44</v>
      </c>
      <c r="C13" s="23" t="str">
        <f>IF(B13=Arbeitslisten!G$36,Arbeitslisten!I$36,IF(B13=Arbeitslisten!G$37,Arbeitslisten!I$37,IF(B13=Arbeitslisten!G$40,Arbeitslisten!I$40,IF(B13=Arbeitslisten!G$41,Arbeitslisten!I$41,IF(B13=Arbeitslisten!G$39,Arbeitslisten!I$39,IF(B13=Arbeitslisten!G$38,Arbeitslisten!I$38,IF(B13=Arbeitslisten!G$42,Arbeitslisten!I$42,"keine Auswahl")))))))</f>
        <v>keine Auswahl</v>
      </c>
      <c r="D13" s="34"/>
      <c r="E13" s="36">
        <f t="array" ref="E13">SUM(IF(ISNUMBER(C13*D13),C13*D13))</f>
        <v>0</v>
      </c>
    </row>
    <row r="14" spans="1:12" ht="15.75" thickBot="1">
      <c r="A14"/>
      <c r="B14" s="39"/>
      <c r="C14" s="18"/>
      <c r="D14" s="40" t="s">
        <v>43</v>
      </c>
      <c r="E14" s="41">
        <f>SUM(E6:E13)</f>
        <v>0</v>
      </c>
    </row>
    <row r="15" spans="1:12">
      <c r="A15"/>
      <c r="B15" s="46"/>
      <c r="C15" s="9"/>
      <c r="D15" s="47"/>
      <c r="E15" s="2"/>
    </row>
    <row r="16" spans="1:12">
      <c r="A16" s="44"/>
      <c r="B16" s="31"/>
      <c r="C16" s="31"/>
      <c r="D16" s="31"/>
      <c r="E16" s="31"/>
      <c r="F16" s="9"/>
      <c r="G16" s="9"/>
      <c r="H16" s="29"/>
    </row>
    <row r="17" spans="1:8">
      <c r="A17" s="30" t="s">
        <v>91</v>
      </c>
      <c r="B17" s="30"/>
      <c r="C17" s="31"/>
      <c r="D17" s="31"/>
      <c r="E17" s="32">
        <f>IF(E14&gt;0,E14,C3)</f>
        <v>0</v>
      </c>
      <c r="F17" s="9"/>
      <c r="G17" s="9"/>
      <c r="H17" s="29"/>
    </row>
    <row r="18" spans="1:8">
      <c r="B18" s="28"/>
      <c r="C18" s="28"/>
      <c r="D18" s="28"/>
      <c r="E18" s="28"/>
      <c r="F18" s="9"/>
      <c r="G18" s="9"/>
      <c r="H18" s="29"/>
    </row>
    <row r="19" spans="1:8">
      <c r="B19" s="10"/>
      <c r="C19" s="11"/>
      <c r="E19" s="9"/>
      <c r="F19" s="9"/>
      <c r="G19" s="9"/>
      <c r="H19" s="29"/>
    </row>
    <row r="20" spans="1:8" ht="44.25" customHeight="1">
      <c r="A20" s="300" t="s">
        <v>100</v>
      </c>
      <c r="B20" s="301"/>
      <c r="C20" s="301"/>
      <c r="D20" s="301"/>
      <c r="E20" s="301"/>
    </row>
    <row r="21" spans="1:8" ht="15.75" customHeight="1">
      <c r="A21" s="209"/>
      <c r="B21" s="210"/>
      <c r="C21" s="210"/>
      <c r="D21" s="304" t="s">
        <v>107</v>
      </c>
      <c r="E21" s="210"/>
    </row>
    <row r="22" spans="1:8" ht="15.75" customHeight="1">
      <c r="A22" s="209"/>
      <c r="B22" s="210"/>
      <c r="C22" s="210"/>
      <c r="D22" s="304"/>
      <c r="E22" s="210"/>
    </row>
    <row r="23" spans="1:8" ht="15.75" customHeight="1" thickBot="1">
      <c r="A23" s="209"/>
      <c r="B23" s="210"/>
      <c r="C23" s="210"/>
      <c r="D23" s="59" t="s">
        <v>108</v>
      </c>
      <c r="E23" s="81" t="s">
        <v>104</v>
      </c>
    </row>
    <row r="24" spans="1:8" ht="15.75" thickBot="1">
      <c r="A24" s="214"/>
      <c r="B24" s="215" t="s">
        <v>99</v>
      </c>
      <c r="C24" s="234"/>
    </row>
    <row r="25" spans="1:8" ht="15.75" thickBot="1">
      <c r="A25" s="212"/>
      <c r="B25" s="213" t="s">
        <v>57</v>
      </c>
      <c r="C25" s="38" t="s">
        <v>44</v>
      </c>
      <c r="D25" s="58" t="str">
        <f>IF(C25=Arbeitslisten!B36,Arbeitslisten!E36,IF(C25=Arbeitslisten!B37,Arbeitslisten!E37,IF(C25=Arbeitslisten!B38,Arbeitslisten!E38,IF(C25=Arbeitslisten!B39,Arbeitslisten!E39,"keine Auswahl"))))</f>
        <v>keine Auswahl</v>
      </c>
      <c r="E25" s="4">
        <f t="array" ref="E25">SUM(IF(ISNUMBER(C24*D25),C24*D25))</f>
        <v>0</v>
      </c>
    </row>
    <row r="26" spans="1:8" ht="15.75" thickBot="1">
      <c r="A26" s="214"/>
      <c r="B26" s="215" t="s">
        <v>99</v>
      </c>
      <c r="C26" s="234"/>
      <c r="D26" s="57"/>
      <c r="E26" s="4"/>
    </row>
    <row r="27" spans="1:8" ht="15.75" thickBot="1">
      <c r="A27" s="212"/>
      <c r="B27" s="213" t="s">
        <v>57</v>
      </c>
      <c r="C27" s="38" t="s">
        <v>44</v>
      </c>
      <c r="D27" s="58" t="str">
        <f>IF(C27=Arbeitslisten!B36,Arbeitslisten!E36,IF(C27=Arbeitslisten!B37,Arbeitslisten!E37,IF(C27=Arbeitslisten!B38,Arbeitslisten!E38,IF(C27=Arbeitslisten!B39,Arbeitslisten!E39,"keine Auswahl"))))</f>
        <v>keine Auswahl</v>
      </c>
      <c r="E27" s="4">
        <f t="array" ref="E27">SUM(IF(ISNUMBER(C26*D27),C26*D27))</f>
        <v>0</v>
      </c>
    </row>
    <row r="28" spans="1:8" ht="15.75" thickBot="1">
      <c r="A28" s="211"/>
      <c r="B28" s="215" t="s">
        <v>99</v>
      </c>
      <c r="C28" s="234"/>
      <c r="D28" s="57"/>
      <c r="E28" s="4"/>
    </row>
    <row r="29" spans="1:8" ht="15.75" thickBot="1">
      <c r="A29" s="212"/>
      <c r="B29" s="213" t="s">
        <v>57</v>
      </c>
      <c r="C29" s="38" t="s">
        <v>44</v>
      </c>
      <c r="D29" s="58" t="str">
        <f>IF(C29=Arbeitslisten!B36,Arbeitslisten!E36,IF(C29=Arbeitslisten!B37,Arbeitslisten!E37,IF(C29=Arbeitslisten!B38,Arbeitslisten!E38,IF(C29=Arbeitslisten!B39,Arbeitslisten!E39,"keine Auswahl"))))</f>
        <v>keine Auswahl</v>
      </c>
      <c r="E29" s="4">
        <f t="array" ref="E29">SUM(IF(ISNUMBER(C28*D29),C28*D29))</f>
        <v>0</v>
      </c>
    </row>
    <row r="30" spans="1:8" ht="30.75" customHeight="1">
      <c r="D30" s="45" t="s">
        <v>103</v>
      </c>
      <c r="E30" s="27">
        <f>SUM(E25:E29)</f>
        <v>0</v>
      </c>
    </row>
    <row r="31" spans="1:8">
      <c r="D31" s="27"/>
    </row>
    <row r="32" spans="1:8" ht="30.75" customHeight="1">
      <c r="A32" s="30" t="s">
        <v>102</v>
      </c>
      <c r="B32" s="31"/>
      <c r="C32" s="31"/>
      <c r="D32" s="31"/>
      <c r="E32" s="32">
        <f>E17-E30</f>
        <v>0</v>
      </c>
    </row>
    <row r="33" spans="1:24">
      <c r="A33"/>
    </row>
    <row r="35" spans="1:24" ht="15.75">
      <c r="A35" s="302" t="s">
        <v>48</v>
      </c>
      <c r="B35" s="303"/>
      <c r="C35" s="303"/>
      <c r="D35" s="303"/>
      <c r="E35" s="303"/>
      <c r="I35" s="9"/>
      <c r="J35" s="9"/>
      <c r="K35" s="9"/>
      <c r="L35" s="9"/>
      <c r="M35" s="9"/>
      <c r="N35" s="9"/>
      <c r="O35" s="9"/>
      <c r="P35" s="9"/>
    </row>
    <row r="36" spans="1:24">
      <c r="A36" s="284" t="s">
        <v>142</v>
      </c>
      <c r="I36" s="9"/>
      <c r="J36" s="9"/>
      <c r="K36" s="9"/>
      <c r="L36" s="9"/>
      <c r="M36" s="9"/>
      <c r="N36" s="9"/>
      <c r="O36" s="9"/>
      <c r="P36" s="9"/>
    </row>
    <row r="37" spans="1:24">
      <c r="A37"/>
      <c r="I37" s="9"/>
      <c r="J37" s="9"/>
      <c r="K37" s="9"/>
      <c r="L37" s="9"/>
      <c r="M37" s="9"/>
      <c r="N37" s="9"/>
      <c r="O37" s="9"/>
      <c r="P37" s="9"/>
    </row>
    <row r="38" spans="1:24" ht="15.75">
      <c r="A38" s="302" t="s">
        <v>49</v>
      </c>
      <c r="B38" s="303"/>
      <c r="C38" s="303"/>
      <c r="D38" s="303"/>
      <c r="E38" s="303"/>
      <c r="I38" s="9"/>
      <c r="J38" s="9"/>
      <c r="K38" s="9"/>
      <c r="L38" s="9"/>
      <c r="M38" s="9"/>
      <c r="N38" s="9"/>
      <c r="O38" s="9"/>
      <c r="P38" s="9"/>
    </row>
    <row r="39" spans="1:24">
      <c r="A39" s="284" t="s">
        <v>142</v>
      </c>
      <c r="E39" s="60"/>
      <c r="I39" s="9"/>
      <c r="J39" s="9"/>
      <c r="K39" s="9"/>
      <c r="L39" s="9"/>
      <c r="M39" s="9"/>
      <c r="N39" s="9"/>
      <c r="O39" s="9"/>
      <c r="P39" s="9"/>
    </row>
    <row r="40" spans="1:24">
      <c r="A40"/>
      <c r="I40" s="9"/>
      <c r="J40" s="9"/>
      <c r="K40" s="9"/>
      <c r="L40" s="9"/>
      <c r="M40" s="9"/>
      <c r="N40" s="9"/>
      <c r="O40" s="9"/>
      <c r="P40" s="9"/>
    </row>
    <row r="41" spans="1:24" ht="37.5" customHeight="1">
      <c r="A41" s="300" t="s">
        <v>150</v>
      </c>
      <c r="B41" s="301"/>
      <c r="C41" s="301"/>
      <c r="D41" s="301"/>
      <c r="E41" s="301"/>
      <c r="I41" s="9"/>
      <c r="J41" s="9"/>
      <c r="K41" s="9"/>
      <c r="L41" s="9"/>
      <c r="M41" s="9"/>
      <c r="N41" s="9"/>
      <c r="O41" s="9"/>
      <c r="P41" s="9"/>
    </row>
    <row r="43" spans="1:24" ht="30.75" thickBot="1">
      <c r="A43"/>
      <c r="C43" s="270" t="s">
        <v>101</v>
      </c>
      <c r="D43" s="270" t="s">
        <v>146</v>
      </c>
      <c r="E43" s="270" t="s">
        <v>123</v>
      </c>
    </row>
    <row r="44" spans="1:24" ht="15" customHeight="1">
      <c r="A44" s="285" t="s">
        <v>143</v>
      </c>
      <c r="B44" s="5" t="s">
        <v>0</v>
      </c>
      <c r="C44" s="273"/>
      <c r="D44" s="274"/>
      <c r="E44" s="275"/>
      <c r="U44" s="4"/>
      <c r="X44" s="24"/>
    </row>
    <row r="45" spans="1:24" ht="15" customHeight="1">
      <c r="A45" s="28" t="s">
        <v>144</v>
      </c>
      <c r="B45" s="5" t="s">
        <v>1</v>
      </c>
      <c r="C45" s="276"/>
      <c r="D45" s="271"/>
      <c r="E45" s="277"/>
      <c r="U45" s="4"/>
      <c r="X45" s="24"/>
    </row>
    <row r="46" spans="1:24">
      <c r="A46" s="28" t="s">
        <v>145</v>
      </c>
      <c r="B46" s="5" t="s">
        <v>2</v>
      </c>
      <c r="C46" s="276"/>
      <c r="D46" s="271"/>
      <c r="E46" s="277"/>
      <c r="U46" s="4"/>
      <c r="X46" s="24"/>
    </row>
    <row r="47" spans="1:24">
      <c r="B47" s="5" t="s">
        <v>3</v>
      </c>
      <c r="C47" s="276"/>
      <c r="D47" s="271"/>
      <c r="E47" s="277"/>
      <c r="U47" s="4"/>
      <c r="X47" s="24"/>
    </row>
    <row r="48" spans="1:24">
      <c r="A48" s="283" t="s">
        <v>147</v>
      </c>
      <c r="B48" s="5" t="s">
        <v>4</v>
      </c>
      <c r="C48" s="276"/>
      <c r="D48" s="271"/>
      <c r="E48" s="277"/>
      <c r="U48" s="4"/>
      <c r="X48" s="24"/>
    </row>
    <row r="49" spans="1:24">
      <c r="A49" s="28" t="s">
        <v>148</v>
      </c>
      <c r="B49" s="5" t="s">
        <v>5</v>
      </c>
      <c r="C49" s="276"/>
      <c r="D49" s="271"/>
      <c r="E49" s="277"/>
      <c r="U49" s="4"/>
      <c r="X49" s="24"/>
    </row>
    <row r="50" spans="1:24">
      <c r="A50" s="284" t="s">
        <v>149</v>
      </c>
      <c r="B50" s="5" t="s">
        <v>6</v>
      </c>
      <c r="C50" s="276"/>
      <c r="D50" s="271"/>
      <c r="E50" s="277"/>
      <c r="U50" s="4"/>
      <c r="X50" s="24"/>
    </row>
    <row r="51" spans="1:24">
      <c r="B51" s="5" t="s">
        <v>7</v>
      </c>
      <c r="C51" s="276"/>
      <c r="D51" s="271"/>
      <c r="E51" s="277"/>
      <c r="U51" s="4"/>
      <c r="X51" s="24"/>
    </row>
    <row r="52" spans="1:24">
      <c r="B52" s="5" t="s">
        <v>8</v>
      </c>
      <c r="C52" s="276"/>
      <c r="D52" s="271"/>
      <c r="E52" s="277"/>
      <c r="U52" s="4"/>
      <c r="X52" s="24"/>
    </row>
    <row r="53" spans="1:24">
      <c r="B53" s="5" t="s">
        <v>9</v>
      </c>
      <c r="C53" s="276"/>
      <c r="D53" s="271"/>
      <c r="E53" s="277"/>
      <c r="U53" s="4"/>
      <c r="X53" s="24"/>
    </row>
    <row r="54" spans="1:24">
      <c r="B54" s="5" t="s">
        <v>10</v>
      </c>
      <c r="C54" s="276"/>
      <c r="D54" s="271"/>
      <c r="E54" s="277"/>
      <c r="U54" s="4"/>
      <c r="X54" s="24"/>
    </row>
    <row r="55" spans="1:24">
      <c r="B55" s="5" t="s">
        <v>11</v>
      </c>
      <c r="C55" s="276"/>
      <c r="D55" s="271"/>
      <c r="E55" s="277"/>
    </row>
    <row r="56" spans="1:24">
      <c r="B56" s="5" t="s">
        <v>12</v>
      </c>
      <c r="C56" s="276"/>
      <c r="D56" s="271"/>
      <c r="E56" s="277"/>
    </row>
    <row r="57" spans="1:24">
      <c r="B57" s="5" t="s">
        <v>13</v>
      </c>
      <c r="C57" s="276"/>
      <c r="D57" s="271"/>
      <c r="E57" s="277"/>
    </row>
    <row r="58" spans="1:24">
      <c r="B58" s="5" t="s">
        <v>14</v>
      </c>
      <c r="C58" s="276"/>
      <c r="D58" s="271"/>
      <c r="E58" s="277"/>
    </row>
    <row r="59" spans="1:24">
      <c r="B59" s="5" t="s">
        <v>15</v>
      </c>
      <c r="C59" s="276"/>
      <c r="D59" s="271"/>
      <c r="E59" s="277"/>
    </row>
    <row r="60" spans="1:24">
      <c r="B60" s="5" t="s">
        <v>16</v>
      </c>
      <c r="C60" s="276"/>
      <c r="D60" s="271"/>
      <c r="E60" s="277"/>
    </row>
    <row r="61" spans="1:24">
      <c r="B61" s="5" t="s">
        <v>17</v>
      </c>
      <c r="C61" s="276"/>
      <c r="D61" s="271"/>
      <c r="E61" s="277"/>
    </row>
    <row r="62" spans="1:24">
      <c r="B62" s="5" t="s">
        <v>18</v>
      </c>
      <c r="C62" s="278"/>
      <c r="D62" s="272"/>
      <c r="E62" s="279"/>
    </row>
    <row r="63" spans="1:24">
      <c r="B63" s="5" t="s">
        <v>19</v>
      </c>
      <c r="C63" s="278"/>
      <c r="D63" s="272"/>
      <c r="E63" s="279"/>
    </row>
    <row r="64" spans="1:24">
      <c r="B64" s="5" t="s">
        <v>20</v>
      </c>
      <c r="C64" s="278"/>
      <c r="D64" s="272"/>
      <c r="E64" s="279"/>
    </row>
    <row r="65" spans="1:12">
      <c r="B65" s="5" t="s">
        <v>21</v>
      </c>
      <c r="C65" s="278"/>
      <c r="D65" s="272"/>
      <c r="E65" s="279"/>
    </row>
    <row r="66" spans="1:12">
      <c r="B66" s="5" t="s">
        <v>40</v>
      </c>
      <c r="C66" s="278"/>
      <c r="D66" s="272"/>
      <c r="E66" s="279"/>
    </row>
    <row r="67" spans="1:12">
      <c r="B67" s="5" t="s">
        <v>46</v>
      </c>
      <c r="C67" s="278"/>
      <c r="D67" s="272"/>
      <c r="E67" s="279"/>
    </row>
    <row r="68" spans="1:12" ht="15.75" thickBot="1">
      <c r="B68" s="5" t="s">
        <v>47</v>
      </c>
      <c r="C68" s="280"/>
      <c r="D68" s="281"/>
      <c r="E68" s="282"/>
    </row>
    <row r="69" spans="1:12">
      <c r="A69"/>
    </row>
    <row r="70" spans="1:12" ht="30" customHeight="1">
      <c r="A70" s="205"/>
      <c r="B70" s="205" t="s">
        <v>136</v>
      </c>
      <c r="C70" s="233">
        <f>SUM(C44:C68)</f>
        <v>0</v>
      </c>
      <c r="D70" s="233">
        <f t="shared" ref="D70:E70" si="0">SUM(D44:D68)</f>
        <v>0</v>
      </c>
      <c r="E70" s="233">
        <f t="shared" si="0"/>
        <v>0</v>
      </c>
      <c r="F70" s="216"/>
    </row>
    <row r="71" spans="1:12">
      <c r="A71"/>
    </row>
    <row r="72" spans="1:12">
      <c r="A72"/>
    </row>
    <row r="76" spans="1:12" ht="30.75" customHeight="1">
      <c r="A76" s="295" t="s">
        <v>133</v>
      </c>
      <c r="B76" s="295"/>
      <c r="C76" s="295"/>
      <c r="D76" s="295"/>
      <c r="E76" s="295"/>
      <c r="F76" s="295"/>
      <c r="G76" s="31"/>
      <c r="H76" s="31"/>
      <c r="I76" s="31"/>
      <c r="J76" s="31"/>
      <c r="K76" s="31"/>
      <c r="L76" s="31"/>
    </row>
    <row r="78" spans="1:12">
      <c r="A78" s="283" t="s">
        <v>137</v>
      </c>
    </row>
    <row r="79" spans="1:12">
      <c r="B79" s="60"/>
    </row>
    <row r="81" spans="1:10">
      <c r="A81" s="5"/>
      <c r="B81" s="46"/>
      <c r="C81" s="46"/>
      <c r="D81" s="46"/>
      <c r="E81" s="46"/>
      <c r="G81" s="24"/>
      <c r="I81" s="1"/>
      <c r="J81" s="1"/>
    </row>
    <row r="82" spans="1:10">
      <c r="A82" s="5"/>
      <c r="B82" s="46"/>
      <c r="C82" s="46"/>
      <c r="D82" s="46"/>
      <c r="E82" s="46"/>
      <c r="G82" s="24"/>
      <c r="I82" s="1"/>
      <c r="J82" s="1"/>
    </row>
    <row r="83" spans="1:10">
      <c r="A83" s="5"/>
      <c r="B83" s="46"/>
      <c r="C83" s="46"/>
      <c r="D83" s="46"/>
      <c r="E83" s="46"/>
      <c r="G83" s="24"/>
      <c r="I83" s="1"/>
      <c r="J83" s="1"/>
    </row>
    <row r="84" spans="1:10">
      <c r="A84" s="5"/>
      <c r="B84" s="46"/>
      <c r="C84" s="46"/>
      <c r="D84" s="46"/>
      <c r="E84" s="46"/>
      <c r="G84" s="24"/>
      <c r="I84" s="1"/>
      <c r="J84" s="1"/>
    </row>
    <row r="85" spans="1:10">
      <c r="A85" s="5"/>
      <c r="B85" s="46"/>
      <c r="C85" s="46"/>
      <c r="D85" s="46"/>
      <c r="E85" s="46"/>
      <c r="G85" s="24"/>
      <c r="I85" s="1"/>
      <c r="J85" s="1"/>
    </row>
    <row r="86" spans="1:10">
      <c r="A86" s="5"/>
      <c r="B86" s="46"/>
      <c r="C86" s="46"/>
      <c r="D86" s="46"/>
      <c r="E86" s="46"/>
      <c r="G86" s="24"/>
      <c r="I86" s="1"/>
      <c r="J86" s="1"/>
    </row>
    <row r="87" spans="1:10">
      <c r="A87" s="5"/>
      <c r="B87" s="46"/>
      <c r="C87" s="46"/>
      <c r="D87" s="46"/>
      <c r="E87" s="46"/>
      <c r="G87" s="24"/>
      <c r="I87" s="1"/>
      <c r="J87" s="1"/>
    </row>
    <row r="88" spans="1:10">
      <c r="A88" s="5"/>
      <c r="B88" s="46"/>
      <c r="C88" s="46"/>
      <c r="D88" s="46"/>
      <c r="E88" s="46"/>
      <c r="G88" s="24"/>
      <c r="I88" s="1"/>
      <c r="J88" s="1"/>
    </row>
    <row r="89" spans="1:10">
      <c r="A89" s="5"/>
      <c r="B89" s="46"/>
      <c r="C89" s="46"/>
      <c r="D89" s="46"/>
      <c r="E89" s="46"/>
      <c r="G89" s="24"/>
      <c r="I89" s="1"/>
      <c r="J89" s="1"/>
    </row>
    <row r="90" spans="1:10">
      <c r="A90" s="5"/>
      <c r="B90" s="46"/>
      <c r="C90" s="46"/>
      <c r="D90" s="46"/>
      <c r="E90" s="46"/>
      <c r="G90" s="24"/>
      <c r="I90" s="1"/>
      <c r="J90" s="1"/>
    </row>
    <row r="91" spans="1:10">
      <c r="A91" s="5"/>
      <c r="B91" s="46"/>
      <c r="C91" s="46"/>
      <c r="D91" s="46"/>
      <c r="E91" s="46"/>
      <c r="G91" s="24"/>
      <c r="I91" s="1"/>
      <c r="J91" s="1"/>
    </row>
    <row r="92" spans="1:10">
      <c r="A92" s="5"/>
      <c r="B92" s="46"/>
      <c r="C92" s="46"/>
      <c r="D92" s="46"/>
      <c r="E92" s="46"/>
      <c r="G92" s="24"/>
      <c r="I92" s="1"/>
      <c r="J92" s="1"/>
    </row>
    <row r="93" spans="1:10">
      <c r="A93" s="5"/>
      <c r="B93" s="46"/>
      <c r="C93" s="46"/>
      <c r="D93" s="46"/>
      <c r="E93" s="46"/>
      <c r="G93" s="24"/>
      <c r="I93" s="1"/>
      <c r="J93" s="1"/>
    </row>
    <row r="94" spans="1:10">
      <c r="A94" s="5"/>
      <c r="B94" s="46"/>
      <c r="C94" s="46"/>
      <c r="D94" s="46"/>
      <c r="E94" s="46"/>
      <c r="G94" s="24"/>
      <c r="I94" s="1"/>
      <c r="J94" s="1"/>
    </row>
    <row r="95" spans="1:10">
      <c r="A95" s="5"/>
      <c r="B95" s="46"/>
      <c r="C95" s="46"/>
      <c r="D95" s="46"/>
      <c r="E95" s="46"/>
      <c r="G95" s="24"/>
      <c r="I95" s="1"/>
      <c r="J95" s="1"/>
    </row>
    <row r="96" spans="1:10">
      <c r="A96" s="79"/>
      <c r="B96" s="46"/>
      <c r="C96" s="46"/>
      <c r="D96" s="46"/>
      <c r="G96" s="24"/>
      <c r="I96" s="1"/>
      <c r="J96" s="1"/>
    </row>
    <row r="97" spans="1:10">
      <c r="A97" s="5"/>
      <c r="B97" s="46"/>
      <c r="C97" s="46"/>
      <c r="D97" s="46"/>
      <c r="E97" s="46"/>
      <c r="G97" s="24"/>
      <c r="I97" s="1"/>
      <c r="J97" s="1"/>
    </row>
    <row r="98" spans="1:10">
      <c r="A98" s="5"/>
      <c r="B98" s="46"/>
      <c r="C98" s="46"/>
      <c r="D98" s="46"/>
      <c r="E98" s="46"/>
      <c r="G98" s="24"/>
      <c r="I98" s="1"/>
      <c r="J98" s="1"/>
    </row>
    <row r="99" spans="1:10">
      <c r="A99" s="5"/>
      <c r="B99" s="46"/>
      <c r="C99" s="46"/>
      <c r="D99" s="46"/>
      <c r="E99" s="46"/>
      <c r="G99" s="24"/>
      <c r="I99" s="1"/>
      <c r="J99" s="1"/>
    </row>
    <row r="100" spans="1:10">
      <c r="A100" s="5"/>
      <c r="B100" s="46"/>
      <c r="C100" s="46"/>
      <c r="D100" s="46"/>
      <c r="E100" s="46"/>
      <c r="G100" s="24"/>
      <c r="I100" s="1"/>
      <c r="J100" s="1"/>
    </row>
    <row r="101" spans="1:10">
      <c r="A101" s="5"/>
      <c r="B101" s="46"/>
      <c r="C101" s="46"/>
      <c r="D101" s="46"/>
      <c r="E101" s="46"/>
      <c r="G101" s="24"/>
      <c r="I101" s="1"/>
      <c r="J101" s="1"/>
    </row>
    <row r="102" spans="1:10">
      <c r="A102" s="5"/>
      <c r="B102" s="46"/>
      <c r="C102" s="46"/>
      <c r="D102" s="46"/>
      <c r="E102" s="46"/>
      <c r="G102" s="24"/>
      <c r="I102" s="1"/>
      <c r="J102" s="1"/>
    </row>
    <row r="103" spans="1:10">
      <c r="A103" s="5"/>
      <c r="B103" s="46"/>
      <c r="C103" s="46"/>
      <c r="D103" s="46"/>
      <c r="E103" s="46"/>
      <c r="G103" s="24"/>
      <c r="I103" s="1"/>
      <c r="J103" s="1"/>
    </row>
    <row r="104" spans="1:10">
      <c r="A104" s="5"/>
      <c r="B104" s="46"/>
      <c r="C104" s="46"/>
      <c r="D104" s="46"/>
      <c r="E104" s="46"/>
      <c r="G104" s="24"/>
      <c r="I104" s="1"/>
      <c r="J104" s="1"/>
    </row>
    <row r="105" spans="1:10">
      <c r="A105" s="5"/>
      <c r="B105" s="46"/>
      <c r="C105" s="46"/>
      <c r="D105" s="46"/>
      <c r="E105" s="46"/>
      <c r="G105" s="24"/>
      <c r="I105" s="1"/>
      <c r="J105" s="1"/>
    </row>
    <row r="106" spans="1:10">
      <c r="A106" s="5"/>
      <c r="B106" s="46"/>
      <c r="C106" s="46"/>
      <c r="D106" s="46"/>
      <c r="E106" s="46"/>
      <c r="G106" s="24"/>
      <c r="I106" s="1"/>
      <c r="J106" s="1"/>
    </row>
    <row r="107" spans="1:10">
      <c r="A107" s="5"/>
      <c r="B107" s="46"/>
      <c r="C107" s="46"/>
      <c r="D107" s="46"/>
      <c r="E107" s="46"/>
      <c r="G107" s="24"/>
      <c r="I107" s="1"/>
      <c r="J107" s="1"/>
    </row>
    <row r="108" spans="1:10">
      <c r="A108" s="5"/>
      <c r="B108" s="46"/>
      <c r="C108" s="46"/>
      <c r="D108" s="46"/>
      <c r="E108" s="46"/>
      <c r="G108" s="24"/>
      <c r="I108" s="1"/>
      <c r="J108" s="1"/>
    </row>
    <row r="109" spans="1:10">
      <c r="A109" s="5"/>
      <c r="B109" s="46"/>
      <c r="C109" s="46"/>
      <c r="D109" s="46"/>
      <c r="E109" s="46"/>
      <c r="G109" s="24"/>
      <c r="I109" s="1"/>
      <c r="J109" s="1"/>
    </row>
    <row r="110" spans="1:10">
      <c r="A110" s="5"/>
      <c r="B110" s="46"/>
      <c r="C110" s="46"/>
      <c r="D110" s="46"/>
      <c r="E110" s="46"/>
      <c r="G110" s="24"/>
      <c r="I110" s="1"/>
      <c r="J110" s="1"/>
    </row>
    <row r="111" spans="1:10">
      <c r="A111" s="5"/>
      <c r="B111" s="46"/>
      <c r="C111" s="46"/>
      <c r="D111" s="46"/>
      <c r="E111" s="46"/>
      <c r="G111" s="24"/>
      <c r="I111" s="1"/>
      <c r="J111" s="1"/>
    </row>
    <row r="112" spans="1:10">
      <c r="A112" s="5"/>
      <c r="B112" s="46"/>
      <c r="C112" s="46"/>
      <c r="D112" s="46"/>
      <c r="E112" s="46"/>
      <c r="G112" s="24"/>
      <c r="I112" s="1"/>
      <c r="J112" s="1"/>
    </row>
    <row r="113" spans="1:10">
      <c r="A113" s="5"/>
      <c r="B113" s="46"/>
      <c r="C113" s="46"/>
      <c r="D113" s="46"/>
      <c r="E113" s="46"/>
      <c r="G113" s="24"/>
      <c r="I113" s="1"/>
      <c r="J113" s="1"/>
    </row>
    <row r="114" spans="1:10">
      <c r="A114" s="5"/>
      <c r="B114" s="46"/>
      <c r="C114" s="46"/>
      <c r="D114" s="46"/>
      <c r="E114" s="46"/>
      <c r="G114" s="24"/>
      <c r="I114" s="1"/>
      <c r="J114" s="1"/>
    </row>
    <row r="115" spans="1:10">
      <c r="A115" s="5"/>
      <c r="B115" s="46"/>
      <c r="C115" s="46"/>
      <c r="D115" s="46"/>
      <c r="E115" s="46"/>
      <c r="G115" s="24"/>
      <c r="I115" s="1"/>
      <c r="J115" s="1"/>
    </row>
    <row r="116" spans="1:10">
      <c r="A116" s="5"/>
      <c r="B116" s="46"/>
      <c r="C116" s="46"/>
      <c r="D116" s="46"/>
      <c r="E116" s="46"/>
      <c r="G116" s="24"/>
      <c r="I116" s="1"/>
      <c r="J116" s="1"/>
    </row>
    <row r="117" spans="1:10">
      <c r="A117" s="5"/>
      <c r="B117" s="46"/>
      <c r="C117" s="46"/>
      <c r="D117" s="46"/>
      <c r="E117" s="46"/>
      <c r="G117" s="24"/>
      <c r="I117" s="1"/>
      <c r="J117" s="1"/>
    </row>
    <row r="118" spans="1:10">
      <c r="A118" s="5"/>
      <c r="B118" s="46"/>
      <c r="C118" s="46"/>
      <c r="D118" s="46"/>
      <c r="E118" s="46"/>
      <c r="G118" s="24"/>
      <c r="I118" s="1"/>
      <c r="J118" s="1"/>
    </row>
    <row r="119" spans="1:10">
      <c r="A119" s="5"/>
      <c r="B119" s="46"/>
      <c r="C119" s="46"/>
      <c r="D119" s="46"/>
      <c r="E119" s="46"/>
      <c r="G119" s="24"/>
      <c r="I119" s="1"/>
      <c r="J119" s="1"/>
    </row>
    <row r="120" spans="1:10">
      <c r="A120" s="5"/>
      <c r="B120" s="46"/>
      <c r="C120" s="46"/>
      <c r="D120" s="46"/>
      <c r="E120" s="46"/>
      <c r="G120" s="24"/>
      <c r="I120" s="1"/>
      <c r="J120" s="1"/>
    </row>
    <row r="121" spans="1:10">
      <c r="A121" s="5"/>
      <c r="B121" s="46"/>
      <c r="C121" s="46"/>
      <c r="D121" s="46"/>
      <c r="E121" s="46"/>
      <c r="G121" s="24"/>
      <c r="I121" s="1"/>
      <c r="J121" s="1"/>
    </row>
    <row r="122" spans="1:10">
      <c r="A122" s="5"/>
      <c r="B122" s="46"/>
      <c r="C122" s="46"/>
      <c r="D122" s="46"/>
      <c r="E122" s="46"/>
      <c r="G122" s="24"/>
      <c r="I122" s="1"/>
      <c r="J122" s="1"/>
    </row>
    <row r="123" spans="1:10">
      <c r="A123" s="5"/>
      <c r="B123" s="46"/>
      <c r="C123" s="46"/>
      <c r="D123" s="46"/>
      <c r="E123" s="46"/>
      <c r="G123" s="24"/>
      <c r="I123" s="1"/>
      <c r="J123" s="1"/>
    </row>
    <row r="124" spans="1:10">
      <c r="A124" s="5"/>
      <c r="B124" s="46"/>
      <c r="C124" s="46"/>
      <c r="D124" s="46"/>
      <c r="E124" s="46"/>
      <c r="G124" s="24"/>
      <c r="I124" s="1"/>
      <c r="J124" s="1"/>
    </row>
    <row r="125" spans="1:10">
      <c r="A125" s="5"/>
      <c r="B125" s="46"/>
      <c r="C125" s="46"/>
      <c r="D125" s="46"/>
      <c r="E125" s="46"/>
      <c r="G125" s="24"/>
      <c r="I125" s="1"/>
      <c r="J125" s="1"/>
    </row>
    <row r="126" spans="1:10">
      <c r="A126" s="5"/>
      <c r="B126" s="46"/>
      <c r="C126" s="46"/>
      <c r="D126" s="46"/>
      <c r="E126" s="235"/>
      <c r="G126" s="24"/>
      <c r="I126" s="1"/>
      <c r="J126" s="1"/>
    </row>
    <row r="127" spans="1:10">
      <c r="A127" s="5"/>
      <c r="B127" s="46"/>
      <c r="C127" s="46"/>
      <c r="D127" s="46"/>
      <c r="E127" s="46"/>
      <c r="G127" s="24"/>
      <c r="I127" s="1"/>
      <c r="J127" s="1"/>
    </row>
    <row r="128" spans="1:10">
      <c r="A128" s="5"/>
      <c r="B128" s="46"/>
      <c r="C128" s="46"/>
      <c r="D128" s="46"/>
      <c r="E128" s="46"/>
      <c r="G128" s="24"/>
      <c r="I128" s="1"/>
      <c r="J128" s="1"/>
    </row>
    <row r="129" spans="1:10">
      <c r="A129" s="5"/>
      <c r="B129" s="46"/>
      <c r="C129" s="46"/>
      <c r="D129" s="46"/>
      <c r="E129" s="46"/>
      <c r="G129" s="24"/>
      <c r="I129" s="1"/>
      <c r="J129" s="1"/>
    </row>
    <row r="130" spans="1:10">
      <c r="A130" s="5"/>
      <c r="B130" s="46"/>
      <c r="C130" s="46"/>
      <c r="D130" s="46"/>
      <c r="E130" s="46"/>
      <c r="G130" s="24"/>
      <c r="I130" s="1"/>
      <c r="J130" s="1"/>
    </row>
    <row r="131" spans="1:10">
      <c r="A131" s="5"/>
      <c r="B131" s="46"/>
      <c r="C131" s="46"/>
      <c r="D131" s="46"/>
      <c r="E131" s="46"/>
      <c r="G131" s="24"/>
      <c r="I131" s="1"/>
      <c r="J131" s="1"/>
    </row>
    <row r="132" spans="1:10">
      <c r="A132" s="5"/>
      <c r="B132" s="46"/>
      <c r="C132" s="46"/>
      <c r="D132" s="46"/>
      <c r="E132" s="46"/>
      <c r="G132" s="24"/>
      <c r="I132" s="1"/>
      <c r="J132" s="1"/>
    </row>
    <row r="133" spans="1:10">
      <c r="A133" s="5"/>
      <c r="B133" s="46"/>
      <c r="C133" s="46"/>
      <c r="D133" s="46"/>
      <c r="E133" s="46"/>
      <c r="G133" s="24"/>
      <c r="I133" s="1"/>
      <c r="J133" s="1"/>
    </row>
    <row r="134" spans="1:10">
      <c r="A134" s="5"/>
      <c r="B134" s="46"/>
      <c r="C134" s="46"/>
      <c r="D134" s="46"/>
      <c r="E134" s="46"/>
      <c r="G134" s="24"/>
      <c r="I134" s="1"/>
      <c r="J134" s="1"/>
    </row>
    <row r="135" spans="1:10">
      <c r="A135" s="5"/>
      <c r="B135" s="46"/>
      <c r="C135" s="46"/>
      <c r="D135" s="46"/>
      <c r="E135" s="46"/>
      <c r="G135" s="24"/>
      <c r="I135" s="1"/>
      <c r="J135" s="1"/>
    </row>
    <row r="136" spans="1:10">
      <c r="A136" s="5"/>
      <c r="B136" s="46"/>
      <c r="C136" s="46"/>
      <c r="D136" s="46"/>
      <c r="E136" s="46"/>
      <c r="G136" s="24"/>
      <c r="I136" s="1"/>
      <c r="J136" s="1"/>
    </row>
    <row r="137" spans="1:10">
      <c r="A137" s="5"/>
      <c r="B137" s="46"/>
      <c r="C137" s="46"/>
      <c r="D137" s="46"/>
      <c r="E137" s="46"/>
      <c r="G137" s="24"/>
      <c r="I137" s="1"/>
      <c r="J137" s="1"/>
    </row>
    <row r="138" spans="1:10">
      <c r="A138" s="5"/>
      <c r="B138" s="46"/>
      <c r="C138" s="46"/>
      <c r="D138" s="46"/>
      <c r="E138" s="46"/>
      <c r="G138" s="24"/>
      <c r="I138" s="1"/>
      <c r="J138" s="1"/>
    </row>
    <row r="139" spans="1:10">
      <c r="A139" s="5"/>
      <c r="B139" s="46"/>
      <c r="C139" s="46"/>
      <c r="D139" s="46"/>
      <c r="E139" s="46"/>
      <c r="G139" s="24"/>
      <c r="I139" s="1"/>
      <c r="J139" s="1"/>
    </row>
    <row r="140" spans="1:10">
      <c r="A140" s="5"/>
      <c r="B140" s="46"/>
      <c r="C140" s="46"/>
      <c r="D140" s="46"/>
      <c r="E140" s="46"/>
      <c r="G140" s="24"/>
      <c r="I140" s="1"/>
      <c r="J140" s="1"/>
    </row>
    <row r="141" spans="1:10">
      <c r="A141" s="236"/>
      <c r="B141" s="46"/>
      <c r="C141" s="46"/>
      <c r="D141" s="46"/>
      <c r="E141" s="46"/>
      <c r="G141" s="24"/>
      <c r="I141" s="1"/>
      <c r="J141" s="1"/>
    </row>
    <row r="142" spans="1:10">
      <c r="J142" s="9"/>
    </row>
    <row r="143" spans="1:10" ht="15.75" thickBot="1">
      <c r="B143" s="284" t="s">
        <v>151</v>
      </c>
    </row>
    <row r="144" spans="1:10" ht="60.75" thickBot="1">
      <c r="B144" s="204" t="s">
        <v>110</v>
      </c>
      <c r="C144" s="204" t="s">
        <v>111</v>
      </c>
      <c r="D144" s="204" t="s">
        <v>138</v>
      </c>
      <c r="E144" s="204" t="s">
        <v>118</v>
      </c>
      <c r="F144" s="204" t="s">
        <v>67</v>
      </c>
    </row>
    <row r="145" spans="1:10">
      <c r="B145" s="198">
        <v>304649</v>
      </c>
      <c r="C145" s="199">
        <v>451</v>
      </c>
      <c r="D145" s="199">
        <v>70114</v>
      </c>
      <c r="E145" s="200">
        <v>11.137428682317401</v>
      </c>
      <c r="F145" s="201">
        <v>10</v>
      </c>
      <c r="G145" t="s">
        <v>76</v>
      </c>
    </row>
    <row r="146" spans="1:10">
      <c r="B146" s="108">
        <v>184130</v>
      </c>
      <c r="C146" s="95">
        <v>303</v>
      </c>
      <c r="D146" s="95">
        <v>35756</v>
      </c>
      <c r="E146" s="123">
        <v>8.9108449245515651</v>
      </c>
      <c r="F146" s="129">
        <v>9</v>
      </c>
      <c r="G146" t="s">
        <v>75</v>
      </c>
    </row>
    <row r="147" spans="1:10">
      <c r="B147" s="109">
        <v>119953</v>
      </c>
      <c r="C147" s="94">
        <v>229</v>
      </c>
      <c r="D147" s="94">
        <v>22553</v>
      </c>
      <c r="E147" s="122">
        <v>7.5203401697335082</v>
      </c>
      <c r="F147" s="128">
        <v>8</v>
      </c>
      <c r="G147" t="s">
        <v>76</v>
      </c>
    </row>
    <row r="148" spans="1:10" ht="15.75" thickBot="1">
      <c r="B148" s="110">
        <v>81655</v>
      </c>
      <c r="C148" s="93">
        <v>179</v>
      </c>
      <c r="D148" s="93">
        <v>14537</v>
      </c>
      <c r="E148" s="121">
        <v>6.5177514723258581</v>
      </c>
      <c r="F148" s="127">
        <v>7</v>
      </c>
      <c r="G148" t="s">
        <v>76</v>
      </c>
    </row>
    <row r="149" spans="1:10">
      <c r="A149" s="289" t="s">
        <v>62</v>
      </c>
      <c r="B149" s="266">
        <v>58517</v>
      </c>
      <c r="C149" s="267">
        <v>133</v>
      </c>
      <c r="D149" s="267">
        <v>9327</v>
      </c>
      <c r="E149" s="268">
        <v>5.8059304982296105</v>
      </c>
      <c r="F149" s="269">
        <v>6</v>
      </c>
      <c r="G149" s="261" t="s">
        <v>73</v>
      </c>
      <c r="H149" s="261"/>
      <c r="I149" s="261"/>
    </row>
    <row r="150" spans="1:10" ht="15.75" thickBot="1">
      <c r="A150" s="290"/>
      <c r="B150" s="262">
        <v>41996</v>
      </c>
      <c r="C150" s="263">
        <v>97</v>
      </c>
      <c r="D150" s="263">
        <v>6344</v>
      </c>
      <c r="E150" s="264">
        <v>5.1719368528662111</v>
      </c>
      <c r="F150" s="265">
        <v>5</v>
      </c>
      <c r="G150" s="261"/>
      <c r="H150" s="261"/>
      <c r="I150" s="261"/>
    </row>
    <row r="151" spans="1:10">
      <c r="B151" s="111">
        <v>29252</v>
      </c>
      <c r="C151" s="92">
        <v>72</v>
      </c>
      <c r="D151" s="92">
        <v>4165</v>
      </c>
      <c r="E151" s="120">
        <v>4.6003124771365007</v>
      </c>
      <c r="F151" s="126">
        <v>4</v>
      </c>
      <c r="G151" t="s">
        <v>77</v>
      </c>
    </row>
    <row r="152" spans="1:10">
      <c r="B152" s="112">
        <v>18166</v>
      </c>
      <c r="C152" s="91">
        <v>50</v>
      </c>
      <c r="D152" s="91">
        <v>2376</v>
      </c>
      <c r="E152" s="119">
        <v>4.0458002314458801</v>
      </c>
      <c r="F152" s="125">
        <v>3</v>
      </c>
      <c r="G152" t="s">
        <v>77</v>
      </c>
    </row>
    <row r="153" spans="1:10">
      <c r="B153" s="113">
        <v>8230</v>
      </c>
      <c r="C153" s="90">
        <v>28</v>
      </c>
      <c r="D153" s="90">
        <v>1168</v>
      </c>
      <c r="E153" s="118">
        <v>3.3311398766546256</v>
      </c>
      <c r="F153" s="124">
        <v>2</v>
      </c>
      <c r="G153" t="s">
        <v>74</v>
      </c>
    </row>
    <row r="154" spans="1:10" ht="15.75" thickBot="1">
      <c r="B154" s="114">
        <v>0</v>
      </c>
      <c r="C154" s="98">
        <v>0</v>
      </c>
      <c r="D154" s="98">
        <v>0</v>
      </c>
      <c r="E154" s="202">
        <v>0</v>
      </c>
      <c r="F154" s="203">
        <v>1</v>
      </c>
      <c r="G154" t="s">
        <v>77</v>
      </c>
      <c r="I154" s="42"/>
    </row>
    <row r="155" spans="1:10">
      <c r="B155" s="15" t="s">
        <v>72</v>
      </c>
      <c r="C155" s="9"/>
      <c r="D155" s="9"/>
      <c r="E155" s="9"/>
      <c r="F155" s="16"/>
      <c r="J155" s="60"/>
    </row>
    <row r="156" spans="1:10" ht="15.75" thickBot="1">
      <c r="B156" s="17"/>
      <c r="C156" s="18"/>
      <c r="D156" s="18"/>
      <c r="E156" s="18"/>
      <c r="F156" s="19"/>
      <c r="J156" s="83"/>
    </row>
    <row r="157" spans="1:10">
      <c r="J157" s="60"/>
    </row>
    <row r="158" spans="1:10">
      <c r="J158" s="60"/>
    </row>
    <row r="161" spans="1:13" ht="33.75" customHeight="1">
      <c r="A161" s="295" t="s">
        <v>55</v>
      </c>
      <c r="B161" s="295"/>
      <c r="C161" s="295"/>
      <c r="D161" s="295"/>
      <c r="E161" s="295"/>
      <c r="F161" s="295"/>
      <c r="G161" s="295"/>
      <c r="H161" s="295"/>
      <c r="I161" s="295"/>
      <c r="J161" s="295"/>
      <c r="K161" s="295"/>
      <c r="L161" s="295"/>
      <c r="M161" s="62"/>
    </row>
    <row r="163" spans="1:13" ht="15.75" thickBot="1">
      <c r="B163" s="60"/>
      <c r="C163" s="61"/>
      <c r="D163" s="61"/>
      <c r="E163" s="61"/>
      <c r="F163" s="61"/>
      <c r="G163" s="61"/>
      <c r="H163" s="61"/>
      <c r="I163" s="61"/>
      <c r="J163" s="61"/>
      <c r="K163" s="61"/>
      <c r="L163" s="61"/>
    </row>
    <row r="164" spans="1:13" ht="15.75" thickBot="1">
      <c r="C164" s="163" t="s">
        <v>68</v>
      </c>
      <c r="D164" s="162">
        <v>2</v>
      </c>
      <c r="E164" s="162">
        <v>3</v>
      </c>
      <c r="F164" s="162">
        <v>4</v>
      </c>
      <c r="G164" s="181">
        <v>5</v>
      </c>
      <c r="H164" s="182">
        <v>6</v>
      </c>
      <c r="I164" s="162">
        <v>7</v>
      </c>
      <c r="J164" s="162">
        <v>8</v>
      </c>
      <c r="K164" s="162">
        <v>9</v>
      </c>
      <c r="L164" s="162">
        <v>10</v>
      </c>
    </row>
    <row r="165" spans="1:13" ht="15.75" thickBot="1">
      <c r="C165" s="164"/>
      <c r="G165" s="291" t="s">
        <v>62</v>
      </c>
      <c r="H165" s="292"/>
      <c r="I165" s="195"/>
      <c r="L165" s="10"/>
    </row>
    <row r="166" spans="1:13" ht="18.75">
      <c r="A166" s="296" t="s">
        <v>112</v>
      </c>
      <c r="B166" s="206" t="s">
        <v>53</v>
      </c>
      <c r="C166" s="49">
        <f>IF(AND(Arbeitslisten!$B$31&lt;D167,Arbeitslisten!$B$31&gt;=C167),Arbeitslisten!$B$31,"")</f>
        <v>0</v>
      </c>
      <c r="D166" s="49" t="str">
        <f>IF(AND(Arbeitslisten!$B$31&lt;E167,Arbeitslisten!$B$31&gt;=D167),Arbeitslisten!$B$31,"")</f>
        <v/>
      </c>
      <c r="E166" s="49" t="str">
        <f>IF(AND(Arbeitslisten!$B$31&lt;F167,Arbeitslisten!$B$31&gt;=E167),Arbeitslisten!$B$31,"")</f>
        <v/>
      </c>
      <c r="F166" s="49" t="str">
        <f>IF(AND(Arbeitslisten!$B$31&lt;G167,Arbeitslisten!$B$31&gt;=F167),Arbeitslisten!$B$31,"")</f>
        <v/>
      </c>
      <c r="G166" s="183" t="str">
        <f>IF(AND(Arbeitslisten!$B$31&lt;H167,Arbeitslisten!$B$31&gt;=G167),Arbeitslisten!$B$31,"")</f>
        <v/>
      </c>
      <c r="H166" s="184" t="str">
        <f>IF(AND(Arbeitslisten!$B$31&lt;I167,Arbeitslisten!$B$31&gt;=H167),Arbeitslisten!$B$31,"")</f>
        <v/>
      </c>
      <c r="I166" s="49" t="str">
        <f>IF(AND(Arbeitslisten!$B$31&lt;J167,Arbeitslisten!$B$31&gt;=I167),Arbeitslisten!$B$31,"")</f>
        <v/>
      </c>
      <c r="J166" s="49" t="str">
        <f>IF(AND(Arbeitslisten!$B$31&lt;K167,Arbeitslisten!$B$31&gt;=J167),Arbeitslisten!$B$31,"")</f>
        <v/>
      </c>
      <c r="K166" s="49" t="str">
        <f>IF(AND(Arbeitslisten!$B$31&lt;L167,Arbeitslisten!$B$31&gt;=K167),Arbeitslisten!$B$31,"")</f>
        <v/>
      </c>
      <c r="L166" s="49" t="str">
        <f>IF(Arbeitslisten!$B$31&gt;=L167,Arbeitslisten!$B$31,"")</f>
        <v/>
      </c>
    </row>
    <row r="167" spans="1:13" ht="47.25" customHeight="1" thickBot="1">
      <c r="A167" s="297"/>
      <c r="B167" s="207" t="s">
        <v>71</v>
      </c>
      <c r="C167" s="63">
        <v>0</v>
      </c>
      <c r="D167" s="64">
        <v>248466</v>
      </c>
      <c r="E167" s="65">
        <v>318311</v>
      </c>
      <c r="F167" s="66">
        <v>379164</v>
      </c>
      <c r="G167" s="185">
        <v>525223</v>
      </c>
      <c r="H167" s="186">
        <v>634685</v>
      </c>
      <c r="I167" s="67">
        <v>853698</v>
      </c>
      <c r="J167" s="68">
        <v>1032506</v>
      </c>
      <c r="K167" s="69">
        <v>1355001</v>
      </c>
      <c r="L167" s="70">
        <v>2733551</v>
      </c>
    </row>
    <row r="168" spans="1:13" ht="60">
      <c r="A168" s="208" t="s">
        <v>78</v>
      </c>
      <c r="B168" s="48" t="s">
        <v>54</v>
      </c>
      <c r="C168" s="51" t="str">
        <f>IF(C166="","","Ihr Gesamtverbrauch ist äußerst niedrig")</f>
        <v>Ihr Gesamtverbrauch ist äußerst niedrig</v>
      </c>
      <c r="D168" s="51" t="str">
        <f>IF(D166="","","Ihr Gesamtverbrauch ist sehr niedrig")</f>
        <v/>
      </c>
      <c r="E168" s="51" t="str">
        <f>IF(E166="","","Ihr Gesamtverbrauch ist niedrig")</f>
        <v/>
      </c>
      <c r="F168" s="51" t="str">
        <f>IF(F166="","","Ihr Gesamtverbrauch ist eher niedrig")</f>
        <v/>
      </c>
      <c r="G168" s="193" t="str">
        <f>IF(G166="","","Ihr Gesamtverbrauch liegt im guten mittleren Bereich")</f>
        <v/>
      </c>
      <c r="H168" s="194" t="str">
        <f>IF(H166="","","Ihr Gesamtverbrauch liegt noch im mittleren Bereich")</f>
        <v/>
      </c>
      <c r="I168" s="51" t="str">
        <f>IF(I166="","","Ihr Gesamtverbrauch ist eher hoch")</f>
        <v/>
      </c>
      <c r="J168" s="51" t="str">
        <f>IF(J166="","","Ihr Gesamtverbrauch ist hoch")</f>
        <v/>
      </c>
      <c r="K168" s="51" t="str">
        <f>IF(K166="","","Ihr Gesamtverbrauch ist sehr hoch")</f>
        <v/>
      </c>
      <c r="L168" s="82" t="str">
        <f>IF(L166="","","Ihr Gesamtverbrauch ist äußerst hoch")</f>
        <v/>
      </c>
    </row>
    <row r="169" spans="1:13" ht="15.75" thickBot="1">
      <c r="A169" s="55"/>
      <c r="B169" s="53"/>
      <c r="C169" s="54"/>
      <c r="D169" s="54"/>
      <c r="E169" s="54"/>
      <c r="F169" s="54"/>
      <c r="G169" s="293" t="s">
        <v>62</v>
      </c>
      <c r="H169" s="294"/>
      <c r="I169" s="54"/>
      <c r="J169" s="54"/>
      <c r="K169" s="54"/>
      <c r="L169" s="9"/>
    </row>
    <row r="170" spans="1:13" ht="18.75">
      <c r="A170" s="296" t="s">
        <v>113</v>
      </c>
      <c r="B170" s="206" t="s">
        <v>53</v>
      </c>
      <c r="C170" s="49">
        <f>IF(AND(Arbeitslisten!$D$31&lt;D171,Arbeitslisten!$D$31&gt;=C171),Arbeitslisten!$D$31,"")</f>
        <v>0</v>
      </c>
      <c r="D170" s="49" t="str">
        <f>IF(AND(Arbeitslisten!$D$31&lt;E171,Arbeitslisten!$D$31&gt;=D171),Arbeitslisten!$D$31,"")</f>
        <v/>
      </c>
      <c r="E170" s="49" t="str">
        <f>IF(AND(Arbeitslisten!$D$31&lt;F171,Arbeitslisten!$D$31&gt;=E171),Arbeitslisten!$D$31,"")</f>
        <v/>
      </c>
      <c r="F170" s="49" t="str">
        <f>IF(AND(Arbeitslisten!$D$31&lt;G171,Arbeitslisten!$D$31&gt;=F171),Arbeitslisten!$D$31,"")</f>
        <v/>
      </c>
      <c r="G170" s="183" t="str">
        <f>IF(AND(Arbeitslisten!$D$31&lt;H171,Arbeitslisten!$D$31&gt;=G171),Arbeitslisten!$D$31,"")</f>
        <v/>
      </c>
      <c r="H170" s="184" t="str">
        <f>IF(AND(Arbeitslisten!$D$31&lt;I171,Arbeitslisten!$D$31&gt;=H171),Arbeitslisten!$D$31,"")</f>
        <v/>
      </c>
      <c r="I170" s="49" t="str">
        <f>IF(AND(Arbeitslisten!$D$31&lt;J171,Arbeitslisten!$D$31&gt;=I171),Arbeitslisten!$D$31,"")</f>
        <v/>
      </c>
      <c r="J170" s="49" t="str">
        <f>IF(AND(Arbeitslisten!$D$31&lt;K171,Arbeitslisten!$D$31&gt;=J171),Arbeitslisten!$D$31,"")</f>
        <v/>
      </c>
      <c r="K170" s="49" t="str">
        <f>IF(AND(Arbeitslisten!$D$31&lt;L171,Arbeitslisten!$D$31&gt;=K171),Arbeitslisten!$D$31,"")</f>
        <v/>
      </c>
      <c r="L170" s="49" t="str">
        <f>IF(Arbeitslisten!$D$31&gt;=L171,Arbeitslisten!$D$31,"")</f>
        <v/>
      </c>
    </row>
    <row r="171" spans="1:13" ht="47.25" customHeight="1" thickBot="1">
      <c r="A171" s="297"/>
      <c r="B171" s="207" t="s">
        <v>71</v>
      </c>
      <c r="C171" s="63">
        <v>0</v>
      </c>
      <c r="D171" s="64">
        <v>79</v>
      </c>
      <c r="E171" s="65">
        <v>103</v>
      </c>
      <c r="F171" s="66">
        <v>125</v>
      </c>
      <c r="G171" s="185">
        <v>144</v>
      </c>
      <c r="H171" s="186">
        <v>161</v>
      </c>
      <c r="I171" s="67">
        <v>175</v>
      </c>
      <c r="J171" s="68">
        <v>199</v>
      </c>
      <c r="K171" s="69">
        <v>221</v>
      </c>
      <c r="L171" s="70">
        <v>258</v>
      </c>
    </row>
    <row r="172" spans="1:13" ht="60" customHeight="1">
      <c r="A172" s="208" t="s">
        <v>79</v>
      </c>
      <c r="B172" s="48" t="s">
        <v>54</v>
      </c>
      <c r="C172" s="51" t="str">
        <f>IF(C170="","","Ihr Gesamtverbrauch je m² ist äußerst niedrig")</f>
        <v>Ihr Gesamtverbrauch je m² ist äußerst niedrig</v>
      </c>
      <c r="D172" s="51" t="str">
        <f>IF(D170="","","Ihr Gesamtverbrauch je m² ist sehr niedrig")</f>
        <v/>
      </c>
      <c r="E172" s="51" t="str">
        <f>IF(E170="","","Ihr Gesamtverbrauch je m² ist niedrig")</f>
        <v/>
      </c>
      <c r="F172" s="51" t="str">
        <f>IF(F170="","","Ihr Gesamtverbrauch je m² ist eher niedrig")</f>
        <v/>
      </c>
      <c r="G172" s="193" t="str">
        <f>IF(G170="","","Ihr Gesamtverbrauch je m² liegt im guten mittleren Bereich")</f>
        <v/>
      </c>
      <c r="H172" s="194" t="str">
        <f>IF(H170="","","Ihr Gesamtverbrauch je m² liegt noch im mittleren Bereich")</f>
        <v/>
      </c>
      <c r="I172" s="51" t="str">
        <f>IF(I170="","","Ihr Gesamtverbrauch je m² ist eher hoch")</f>
        <v/>
      </c>
      <c r="J172" s="51" t="str">
        <f>IF(J170="","","Ihr Gesamtverbrauch je m² ist hoch")</f>
        <v/>
      </c>
      <c r="K172" s="51" t="str">
        <f>IF(K170="","","Ihr Gesamtverbrauch je m² ist sehr hoch")</f>
        <v/>
      </c>
      <c r="L172" s="82" t="str">
        <f>IF(L170="","","Ihr Gesamtverbrauch je m² ist äußerst hoch")</f>
        <v/>
      </c>
    </row>
    <row r="173" spans="1:13" ht="15.75" thickBot="1">
      <c r="B173" s="42"/>
      <c r="G173" s="287" t="s">
        <v>62</v>
      </c>
      <c r="H173" s="288"/>
    </row>
    <row r="174" spans="1:13" ht="18.75">
      <c r="A174" s="296" t="s">
        <v>140</v>
      </c>
      <c r="B174" s="206" t="s">
        <v>53</v>
      </c>
      <c r="C174" s="49">
        <f>IF(AND(Arbeitslisten!$H$31&lt;D175,Arbeitslisten!$H$31&gt;=C175),Arbeitslisten!$H$31,"")</f>
        <v>0</v>
      </c>
      <c r="D174" s="49" t="str">
        <f>IF(AND(Arbeitslisten!$H$31&lt;E175,Arbeitslisten!$H$31&gt;=D175),Arbeitslisten!$H$31,"")</f>
        <v/>
      </c>
      <c r="E174" s="49" t="str">
        <f>IF(AND(Arbeitslisten!$H$31&lt;F175,Arbeitslisten!$H$31&gt;=E175),Arbeitslisten!$H$31,"")</f>
        <v/>
      </c>
      <c r="F174" s="49" t="str">
        <f>IF(AND(Arbeitslisten!$H$31&lt;G175,Arbeitslisten!$H$31&gt;=F175),Arbeitslisten!$H$31,"")</f>
        <v/>
      </c>
      <c r="G174" s="183" t="str">
        <f>IF(AND(Arbeitslisten!$H$31&lt;H175,Arbeitslisten!$H$31&gt;=G175),Arbeitslisten!$H$31,"")</f>
        <v/>
      </c>
      <c r="H174" s="184" t="str">
        <f>IF(AND(Arbeitslisten!$H$31&lt;I175,Arbeitslisten!$H$31&gt;=H175),Arbeitslisten!$H$31,"")</f>
        <v/>
      </c>
      <c r="I174" s="49" t="str">
        <f>IF(AND(Arbeitslisten!$H$31&lt;J175,Arbeitslisten!$H$31&gt;=I175),Arbeitslisten!$H$31,"")</f>
        <v/>
      </c>
      <c r="J174" s="49" t="str">
        <f>IF(AND(Arbeitslisten!$H$31&lt;K175,Arbeitslisten!$H$31&gt;=J175),Arbeitslisten!$H$31,"")</f>
        <v/>
      </c>
      <c r="K174" s="49" t="str">
        <f>IF(AND(Arbeitslisten!$H$31&lt;L175,Arbeitslisten!$H$31&gt;=K175),Arbeitslisten!$H$31,"")</f>
        <v/>
      </c>
      <c r="L174" s="49" t="str">
        <f>IF(Arbeitslisten!$H$31&gt;=L175,Arbeitslisten!$H$31,"")</f>
        <v/>
      </c>
    </row>
    <row r="175" spans="1:13" ht="47.25" customHeight="1" thickBot="1">
      <c r="A175" s="297"/>
      <c r="B175" s="207" t="s">
        <v>71</v>
      </c>
      <c r="C175" s="63">
        <v>0</v>
      </c>
      <c r="D175" s="64">
        <v>15352</v>
      </c>
      <c r="E175" s="65">
        <v>18726</v>
      </c>
      <c r="F175" s="66">
        <v>21530</v>
      </c>
      <c r="G175" s="185">
        <v>23925</v>
      </c>
      <c r="H175" s="186">
        <v>28064</v>
      </c>
      <c r="I175" s="67">
        <v>30513</v>
      </c>
      <c r="J175" s="68">
        <v>34107</v>
      </c>
      <c r="K175" s="69">
        <v>41108</v>
      </c>
      <c r="L175" s="70">
        <v>55679</v>
      </c>
    </row>
    <row r="176" spans="1:13" ht="75" customHeight="1">
      <c r="A176" s="208" t="s">
        <v>141</v>
      </c>
      <c r="B176" s="48" t="s">
        <v>54</v>
      </c>
      <c r="C176" s="51" t="str">
        <f>IF(C174="","","Ihr durchschnittlicher Heizbedarf je m² ist äußerst niedrig")</f>
        <v>Ihr durchschnittlicher Heizbedarf je m² ist äußerst niedrig</v>
      </c>
      <c r="D176" s="51" t="str">
        <f>IF(D174="","","Ihr durchschnittlicher Heizbedarf je m² ist sehr niedrig")</f>
        <v/>
      </c>
      <c r="E176" s="51" t="str">
        <f>IF(E174="","","Ihr durchschnittlicher Heizbedarf je m² ist niedrig")</f>
        <v/>
      </c>
      <c r="F176" s="51" t="str">
        <f>IF(F174="","","Ihr durchschnittlicher Heizbedarf je m² ist eher niedrig")</f>
        <v/>
      </c>
      <c r="G176" s="193" t="str">
        <f>IF(G174="","","Ihr durchschnittlicher Heizbedarf je m² liegt im guten mittleren Bereich")</f>
        <v/>
      </c>
      <c r="H176" s="194" t="str">
        <f>IF(H174="","","Ihr durchschnittlicher Heizbedarf je m² liegt noch im mittleren Bereich")</f>
        <v/>
      </c>
      <c r="I176" s="51" t="str">
        <f>IF(I174="","","Ihr durchschnittlicher Heizbedarf je m² ist eher hoch")</f>
        <v/>
      </c>
      <c r="J176" s="51" t="str">
        <f>IF(J174="","","Ihr durchschnittlicher Heizbedarf je m² ist hoch")</f>
        <v/>
      </c>
      <c r="K176" s="51" t="str">
        <f>IF(K174="","","Ihr durchschnittlicher Heizbedarf je m² ist sehr hoch")</f>
        <v/>
      </c>
      <c r="L176" s="82" t="str">
        <f>IF(L174="","","Ihr durchschnittlicher Heizbedarf je m² ist äußerst hoch")</f>
        <v/>
      </c>
    </row>
    <row r="177" spans="1:12" ht="15.75" thickBot="1">
      <c r="B177" s="42"/>
      <c r="G177" s="287" t="s">
        <v>62</v>
      </c>
      <c r="H177" s="288"/>
    </row>
    <row r="178" spans="1:12" ht="18.75">
      <c r="A178" s="296" t="s">
        <v>117</v>
      </c>
      <c r="B178" s="206" t="s">
        <v>53</v>
      </c>
      <c r="C178" s="50">
        <f>IF(AND(Arbeitslisten!$J$31&lt;D179,Arbeitslisten!$J$31&gt;=C179),Arbeitslisten!$J$31,"")</f>
        <v>0</v>
      </c>
      <c r="D178" s="50" t="str">
        <f>IF(AND(Arbeitslisten!$J$31&lt;E179,Arbeitslisten!$J$31&gt;=D179),Arbeitslisten!$J$31,"")</f>
        <v/>
      </c>
      <c r="E178" s="50" t="str">
        <f>IF(AND(Arbeitslisten!$J$31&lt;F179,Arbeitslisten!$J$31&gt;=E179),Arbeitslisten!$J$31,"")</f>
        <v/>
      </c>
      <c r="F178" s="50" t="str">
        <f>IF(AND(Arbeitslisten!$J$31&lt;G179,Arbeitslisten!$J$31&gt;=F179),Arbeitslisten!$J$31,"")</f>
        <v/>
      </c>
      <c r="G178" s="187" t="str">
        <f>IF(AND(Arbeitslisten!$J$31&lt;H179,Arbeitslisten!$J$31&gt;=G179),Arbeitslisten!$J$31,"")</f>
        <v/>
      </c>
      <c r="H178" s="188" t="str">
        <f>IF(AND(Arbeitslisten!$J$31&lt;I179,Arbeitslisten!$J$31&gt;=H179),Arbeitslisten!$J$31,"")</f>
        <v/>
      </c>
      <c r="I178" s="50" t="str">
        <f>IF(AND(Arbeitslisten!$J$31&lt;J179,Arbeitslisten!$J$31&gt;=I179),Arbeitslisten!$J$31,"")</f>
        <v/>
      </c>
      <c r="J178" s="50" t="str">
        <f>IF(AND(Arbeitslisten!$J$31&lt;K179,Arbeitslisten!$J$31&gt;=J179),Arbeitslisten!$J$31,"")</f>
        <v/>
      </c>
      <c r="K178" s="50" t="str">
        <f>IF(AND(Arbeitslisten!$J$31&lt;L179,Arbeitslisten!$J$31&gt;=K179),Arbeitslisten!$J$31,"")</f>
        <v/>
      </c>
      <c r="L178" s="49" t="str">
        <f>IF(Arbeitslisten!$J$31&gt;=L179,Arbeitslisten!$J$31,"")</f>
        <v/>
      </c>
    </row>
    <row r="179" spans="1:12" ht="47.25" customHeight="1" thickBot="1">
      <c r="A179" s="297"/>
      <c r="B179" s="207" t="s">
        <v>71</v>
      </c>
      <c r="C179" s="71">
        <v>0</v>
      </c>
      <c r="D179" s="72">
        <v>3.4005999999999998</v>
      </c>
      <c r="E179" s="73">
        <v>3.9466000000000001</v>
      </c>
      <c r="F179" s="74">
        <v>4.2915000000000001</v>
      </c>
      <c r="G179" s="189">
        <v>4.9214000000000002</v>
      </c>
      <c r="H179" s="190">
        <v>5.431</v>
      </c>
      <c r="I179" s="75">
        <v>5.9382999999999999</v>
      </c>
      <c r="J179" s="76">
        <v>6.7798999999999996</v>
      </c>
      <c r="K179" s="77">
        <v>7.5536000000000003</v>
      </c>
      <c r="L179" s="78">
        <v>9.0122</v>
      </c>
    </row>
    <row r="180" spans="1:12" ht="120.75" thickBot="1">
      <c r="A180" s="208" t="s">
        <v>132</v>
      </c>
      <c r="B180" s="48" t="s">
        <v>54</v>
      </c>
      <c r="C180" s="51" t="str">
        <f>IF(C178="","","Ihre Heizeffizienz ist äußerst gut")</f>
        <v>Ihre Heizeffizienz ist äußerst gut</v>
      </c>
      <c r="D180" s="51" t="str">
        <f>IF(D178="","","Ihre Heizeffizienz ist sehr gut")</f>
        <v/>
      </c>
      <c r="E180" s="51" t="str">
        <f>IF(E178="","","Ihre Heizeffizienz ist gut")</f>
        <v/>
      </c>
      <c r="F180" s="51" t="str">
        <f>IF(F178="","","Ihre Heizeffizienz ist eher gut")</f>
        <v/>
      </c>
      <c r="G180" s="191" t="str">
        <f>IF(G178="","","Ihre Heizeffizienz liegt im guten mittleren Bereich")</f>
        <v/>
      </c>
      <c r="H180" s="192" t="str">
        <f>IF(H178="","","Ihre Heizeffizienz liegt noch im mittleren Bereich")</f>
        <v/>
      </c>
      <c r="I180" s="51" t="str">
        <f>IF(I178="","","Ihre Heizeffizienz ist eher schlecht")</f>
        <v/>
      </c>
      <c r="J180" s="51" t="str">
        <f>IF(J178="","","Ihre Heizeffizienz ist schlecht")</f>
        <v/>
      </c>
      <c r="K180" s="51" t="str">
        <f>IF(K178="","","Ihre Heizeffizienz ist sehr schlecht")</f>
        <v/>
      </c>
      <c r="L180" s="82" t="str">
        <f>IF(L178="","","Ihre Heizeffizienz ist äußerst schlecht")</f>
        <v/>
      </c>
    </row>
    <row r="181" spans="1:12">
      <c r="A181" s="239"/>
    </row>
    <row r="184" spans="1:12" ht="15.75" thickBot="1">
      <c r="B184" s="284" t="s">
        <v>152</v>
      </c>
    </row>
    <row r="185" spans="1:12" ht="60.75" thickBot="1">
      <c r="B185" s="204" t="s">
        <v>110</v>
      </c>
      <c r="C185" s="204" t="s">
        <v>111</v>
      </c>
      <c r="D185" s="204" t="s">
        <v>138</v>
      </c>
      <c r="E185" s="204" t="s">
        <v>118</v>
      </c>
      <c r="F185" s="204" t="s">
        <v>67</v>
      </c>
    </row>
    <row r="186" spans="1:12">
      <c r="B186" s="198">
        <v>2733551</v>
      </c>
      <c r="C186" s="199">
        <v>258</v>
      </c>
      <c r="D186" s="199">
        <v>55679</v>
      </c>
      <c r="E186" s="200">
        <v>9.0122</v>
      </c>
      <c r="F186" s="201">
        <v>10</v>
      </c>
      <c r="G186" t="s">
        <v>76</v>
      </c>
    </row>
    <row r="187" spans="1:12">
      <c r="B187" s="108">
        <v>1355001</v>
      </c>
      <c r="C187" s="95">
        <v>221</v>
      </c>
      <c r="D187" s="95">
        <v>41108</v>
      </c>
      <c r="E187" s="123">
        <v>7.5536000000000003</v>
      </c>
      <c r="F187" s="129">
        <v>9</v>
      </c>
      <c r="G187" t="s">
        <v>75</v>
      </c>
    </row>
    <row r="188" spans="1:12">
      <c r="B188" s="109">
        <v>1032506</v>
      </c>
      <c r="C188" s="94">
        <v>199</v>
      </c>
      <c r="D188" s="94">
        <v>34107</v>
      </c>
      <c r="E188" s="122">
        <v>6.7798999999999996</v>
      </c>
      <c r="F188" s="128">
        <v>8</v>
      </c>
      <c r="G188" t="s">
        <v>76</v>
      </c>
    </row>
    <row r="189" spans="1:12" ht="15.75" thickBot="1">
      <c r="B189" s="110">
        <v>853698</v>
      </c>
      <c r="C189" s="93">
        <v>175</v>
      </c>
      <c r="D189" s="93">
        <v>30513</v>
      </c>
      <c r="E189" s="121">
        <v>5.9382999999999999</v>
      </c>
      <c r="F189" s="127">
        <v>7</v>
      </c>
      <c r="G189" t="s">
        <v>76</v>
      </c>
    </row>
    <row r="190" spans="1:12">
      <c r="A190" s="298" t="s">
        <v>62</v>
      </c>
      <c r="B190" s="266">
        <v>634685</v>
      </c>
      <c r="C190" s="267">
        <v>161</v>
      </c>
      <c r="D190" s="267">
        <v>28064</v>
      </c>
      <c r="E190" s="268">
        <v>5.431</v>
      </c>
      <c r="F190" s="269">
        <v>6</v>
      </c>
      <c r="G190" s="261" t="s">
        <v>73</v>
      </c>
    </row>
    <row r="191" spans="1:12" ht="15.75" thickBot="1">
      <c r="A191" s="299"/>
      <c r="B191" s="262">
        <v>525223</v>
      </c>
      <c r="C191" s="263">
        <v>144</v>
      </c>
      <c r="D191" s="263">
        <v>23925</v>
      </c>
      <c r="E191" s="264">
        <v>4.9214000000000002</v>
      </c>
      <c r="F191" s="265">
        <v>5</v>
      </c>
      <c r="G191" s="261"/>
    </row>
    <row r="192" spans="1:12">
      <c r="B192" s="111">
        <v>379164</v>
      </c>
      <c r="C192" s="92">
        <v>125</v>
      </c>
      <c r="D192" s="92">
        <v>21530</v>
      </c>
      <c r="E192" s="120">
        <v>4.2915000000000001</v>
      </c>
      <c r="F192" s="126">
        <v>4</v>
      </c>
      <c r="G192" t="s">
        <v>77</v>
      </c>
    </row>
    <row r="193" spans="2:7">
      <c r="B193" s="112">
        <v>318311</v>
      </c>
      <c r="C193" s="91">
        <v>103</v>
      </c>
      <c r="D193" s="91">
        <v>18726</v>
      </c>
      <c r="E193" s="119">
        <v>3.9466000000000001</v>
      </c>
      <c r="F193" s="125">
        <v>3</v>
      </c>
      <c r="G193" t="s">
        <v>77</v>
      </c>
    </row>
    <row r="194" spans="2:7">
      <c r="B194" s="113">
        <v>248466</v>
      </c>
      <c r="C194" s="90">
        <v>79</v>
      </c>
      <c r="D194" s="90">
        <v>15352</v>
      </c>
      <c r="E194" s="118">
        <v>3.4005999999999998</v>
      </c>
      <c r="F194" s="124">
        <v>2</v>
      </c>
      <c r="G194" t="s">
        <v>74</v>
      </c>
    </row>
    <row r="195" spans="2:7" ht="15.75" thickBot="1">
      <c r="B195" s="114">
        <v>0</v>
      </c>
      <c r="C195" s="98">
        <v>0</v>
      </c>
      <c r="D195" s="98">
        <v>0</v>
      </c>
      <c r="E195" s="202">
        <v>0</v>
      </c>
      <c r="F195" s="203">
        <v>1</v>
      </c>
      <c r="G195" t="s">
        <v>77</v>
      </c>
    </row>
    <row r="196" spans="2:7">
      <c r="B196" s="15" t="s">
        <v>72</v>
      </c>
      <c r="C196" s="9"/>
      <c r="D196" s="9"/>
      <c r="E196" s="9"/>
      <c r="F196" s="16"/>
    </row>
    <row r="197" spans="2:7" ht="15.75" thickBot="1">
      <c r="B197" s="17"/>
      <c r="C197" s="18"/>
      <c r="D197" s="18"/>
      <c r="E197" s="18"/>
      <c r="F197" s="19"/>
    </row>
  </sheetData>
  <sheetProtection sheet="1" objects="1" scenarios="1" selectLockedCells="1"/>
  <sortState ref="B141:B149">
    <sortCondition ref="B140"/>
  </sortState>
  <dataConsolidate/>
  <mergeCells count="18">
    <mergeCell ref="A190:A191"/>
    <mergeCell ref="A178:A179"/>
    <mergeCell ref="A1:E1"/>
    <mergeCell ref="A41:E41"/>
    <mergeCell ref="A35:E35"/>
    <mergeCell ref="A38:E38"/>
    <mergeCell ref="A76:F76"/>
    <mergeCell ref="A20:E20"/>
    <mergeCell ref="D21:D22"/>
    <mergeCell ref="G177:H177"/>
    <mergeCell ref="A149:A150"/>
    <mergeCell ref="G165:H165"/>
    <mergeCell ref="G169:H169"/>
    <mergeCell ref="G173:H173"/>
    <mergeCell ref="A161:L161"/>
    <mergeCell ref="A166:A167"/>
    <mergeCell ref="A170:A171"/>
    <mergeCell ref="A174:A175"/>
  </mergeCells>
  <dataValidations count="2">
    <dataValidation type="list" allowBlank="1" showInputMessage="1" showErrorMessage="1" sqref="C25 C27 C29">
      <formula1>Haustyp</formula1>
    </dataValidation>
    <dataValidation type="list" allowBlank="1" showInputMessage="1" showErrorMessage="1" sqref="B6:B13">
      <formula1>Brennstofftyp</formula1>
    </dataValidation>
  </dataValidations>
  <pageMargins left="0.70866141732283472" right="0.7086614173228347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sheetPr codeName="Tabelle5"/>
  <dimension ref="A1:V73"/>
  <sheetViews>
    <sheetView tabSelected="1" workbookViewId="0">
      <selection activeCell="B35" sqref="B35"/>
    </sheetView>
  </sheetViews>
  <sheetFormatPr baseColWidth="10" defaultRowHeight="15"/>
  <cols>
    <col min="2" max="2" width="16.7109375" customWidth="1"/>
    <col min="3" max="3" width="16.7109375" bestFit="1" customWidth="1"/>
    <col min="5" max="5" width="16.7109375" customWidth="1"/>
    <col min="7" max="7" width="17" bestFit="1" customWidth="1"/>
    <col min="9" max="9" width="16.7109375" customWidth="1"/>
    <col min="10" max="10" width="12.28515625" customWidth="1"/>
    <col min="12" max="15" width="12.140625" customWidth="1"/>
    <col min="16" max="16" width="13" customWidth="1"/>
  </cols>
  <sheetData>
    <row r="1" spans="1:22" ht="15.75" thickBot="1"/>
    <row r="2" spans="1:22" ht="15.75" thickBot="1">
      <c r="B2" s="12" t="s">
        <v>125</v>
      </c>
      <c r="C2" s="14"/>
      <c r="D2" s="12" t="s">
        <v>126</v>
      </c>
      <c r="E2" s="14"/>
      <c r="F2" s="12" t="s">
        <v>56</v>
      </c>
      <c r="G2" s="14"/>
      <c r="H2" s="12" t="s">
        <v>121</v>
      </c>
      <c r="I2" s="14"/>
      <c r="J2" s="13" t="s">
        <v>87</v>
      </c>
      <c r="K2" s="14"/>
      <c r="M2" s="9" t="s">
        <v>89</v>
      </c>
    </row>
    <row r="3" spans="1:22" ht="75.75" thickBot="1">
      <c r="B3" s="258" t="s">
        <v>41</v>
      </c>
      <c r="C3" s="259" t="s">
        <v>67</v>
      </c>
      <c r="D3" s="258" t="s">
        <v>105</v>
      </c>
      <c r="E3" s="259" t="s">
        <v>67</v>
      </c>
      <c r="F3" s="258" t="s">
        <v>109</v>
      </c>
      <c r="G3" s="260"/>
      <c r="H3" s="258" t="s">
        <v>139</v>
      </c>
      <c r="I3" s="260" t="s">
        <v>67</v>
      </c>
      <c r="J3" s="258" t="s">
        <v>88</v>
      </c>
      <c r="K3" s="259" t="s">
        <v>67</v>
      </c>
      <c r="M3" s="237" t="s">
        <v>110</v>
      </c>
      <c r="N3" s="237" t="s">
        <v>111</v>
      </c>
      <c r="O3" s="237" t="s">
        <v>138</v>
      </c>
      <c r="P3" s="237" t="s">
        <v>118</v>
      </c>
      <c r="Q3" s="130" t="s">
        <v>45</v>
      </c>
    </row>
    <row r="4" spans="1:22">
      <c r="A4" s="5" t="s">
        <v>0</v>
      </c>
      <c r="B4" s="217">
        <f>IF(Arbeitslisten!D47&gt;0,Arbeitslisten!D47,0)</f>
        <v>0</v>
      </c>
      <c r="C4" s="218" t="str">
        <f>IF(B4&gt;0,VLOOKUP(B4,Arbeitslisten!$M$16:$Q$25,5,TRUE),"--")</f>
        <v>--</v>
      </c>
      <c r="D4" s="219">
        <f>IF(Analyse!$C44=0,0,IF($B4/Analyse!$C44&gt;0,$B4/Analyse!$C44,0))</f>
        <v>0</v>
      </c>
      <c r="E4" s="218" t="str">
        <f>IF(D4&gt;0,VLOOKUP(D4,Arbeitslisten!$N$16:$Q$25,4,TRUE),"--")</f>
        <v>--</v>
      </c>
      <c r="F4" s="220">
        <f>IF(Arbeitslisten!G47&gt;0,Arbeitslisten!G47/1000,0)</f>
        <v>0</v>
      </c>
      <c r="G4" s="218"/>
      <c r="H4" s="220">
        <f>IF(Analyse!C44&gt;0,G47/Analyse!C44,0)</f>
        <v>0</v>
      </c>
      <c r="I4" s="218" t="str">
        <f>IF(H4&gt;0,VLOOKUP(H4,Arbeitslisten!$O$16:$Q$25,3,TRUE),"--")</f>
        <v>--</v>
      </c>
      <c r="J4" s="221">
        <f>IF(F4=0,0,IF(B4/F4&gt;0,B4/F4,0))</f>
        <v>0</v>
      </c>
      <c r="K4" s="222" t="str">
        <f>IF(J4&gt;0,VLOOKUP(J4,Arbeitslisten!$P$16:$Q$25,2,TRUE),"--")</f>
        <v>--</v>
      </c>
      <c r="M4" s="107" t="s">
        <v>64</v>
      </c>
      <c r="N4" s="96" t="s">
        <v>65</v>
      </c>
      <c r="O4" s="96" t="s">
        <v>122</v>
      </c>
      <c r="P4" s="97" t="s">
        <v>66</v>
      </c>
      <c r="Q4" s="138">
        <v>1</v>
      </c>
    </row>
    <row r="5" spans="1:22">
      <c r="A5" s="5" t="s">
        <v>1</v>
      </c>
      <c r="B5" s="103">
        <f>IF(Arbeitslisten!D48&gt;0,Arbeitslisten!D48,0)</f>
        <v>0</v>
      </c>
      <c r="C5" s="100" t="str">
        <f>IF(B5&gt;0,VLOOKUP(B5,Arbeitslisten!$M$16:$Q$25,5,TRUE),"--")</f>
        <v>--</v>
      </c>
      <c r="D5" s="157">
        <f>IF(Analyse!$C45=0,0,IF($B5/Analyse!$C45&gt;0,$B5/Analyse!$C45,0))</f>
        <v>0</v>
      </c>
      <c r="E5" s="100" t="str">
        <f>IF(D5&gt;0,VLOOKUP(D5,Arbeitslisten!$N$16:$Q$25,4,TRUE),"--")</f>
        <v>--</v>
      </c>
      <c r="F5" s="104">
        <f>IF(Arbeitslisten!G48&gt;0,Arbeitslisten!G48/1000,0)</f>
        <v>0</v>
      </c>
      <c r="G5" s="100"/>
      <c r="H5" s="245">
        <f>IF(Analyse!C45&gt;0,G48/Analyse!C45,0)</f>
        <v>0</v>
      </c>
      <c r="I5" s="100" t="str">
        <f>IF(H5&gt;0,VLOOKUP(H5,Arbeitslisten!$O$16:$Q$25,3,TRUE),"--")</f>
        <v>--</v>
      </c>
      <c r="J5" s="105">
        <f t="shared" ref="J5:J28" si="0">IF(F5=0,0,IF(B5/F5&gt;0,B5/F5,0))</f>
        <v>0</v>
      </c>
      <c r="K5" s="238" t="str">
        <f>IF(J5&gt;0,VLOOKUP(J5,Arbeitslisten!$P$16:$Q$25,2,TRUE),"--")</f>
        <v>--</v>
      </c>
      <c r="M5" s="108">
        <v>304648.6557781765</v>
      </c>
      <c r="N5" s="95">
        <v>450.58974901940098</v>
      </c>
      <c r="O5" s="95">
        <v>77355.366096917453</v>
      </c>
      <c r="P5" s="89">
        <v>11.137428682317427</v>
      </c>
      <c r="Q5" s="139">
        <v>0.9</v>
      </c>
    </row>
    <row r="6" spans="1:22">
      <c r="A6" s="5" t="s">
        <v>2</v>
      </c>
      <c r="B6" s="103">
        <f>IF(Arbeitslisten!D49&gt;0,Arbeitslisten!D49,0)</f>
        <v>0</v>
      </c>
      <c r="C6" s="100" t="str">
        <f>IF(B6&gt;0,VLOOKUP(B6,Arbeitslisten!$M$16:$Q$25,5,TRUE),"--")</f>
        <v>--</v>
      </c>
      <c r="D6" s="157">
        <f>IF(Analyse!$C46=0,0,IF($B6/Analyse!$C46&gt;0,$B6/Analyse!$C46,0))</f>
        <v>0</v>
      </c>
      <c r="E6" s="100" t="str">
        <f>IF(D6&gt;0,VLOOKUP(D6,Arbeitslisten!$N$16:$Q$25,4,TRUE),"--")</f>
        <v>--</v>
      </c>
      <c r="F6" s="104">
        <f>IF(Arbeitslisten!G49&gt;0,Arbeitslisten!G49/1000,0)</f>
        <v>0</v>
      </c>
      <c r="G6" s="100"/>
      <c r="H6" s="245">
        <f>IF(Analyse!C46&gt;0,G49/Analyse!C46,0)</f>
        <v>0</v>
      </c>
      <c r="I6" s="100" t="str">
        <f>IF(H6&gt;0,VLOOKUP(H6,Arbeitslisten!$O$16:$Q$25,3,TRUE),"--")</f>
        <v>--</v>
      </c>
      <c r="J6" s="105">
        <f t="shared" si="0"/>
        <v>0</v>
      </c>
      <c r="K6" s="238" t="str">
        <f>IF(J6&gt;0,VLOOKUP(J6,Arbeitslisten!$P$16:$Q$25,2,TRUE),"--")</f>
        <v>--</v>
      </c>
      <c r="M6" s="109">
        <v>184129.74528450496</v>
      </c>
      <c r="N6" s="94">
        <v>302.90186998248157</v>
      </c>
      <c r="O6" s="94">
        <v>59570.164083227173</v>
      </c>
      <c r="P6" s="88">
        <v>8.9108449245515651</v>
      </c>
      <c r="Q6" s="140">
        <v>0.8</v>
      </c>
    </row>
    <row r="7" spans="1:22" ht="15.75" thickBot="1">
      <c r="A7" s="5" t="s">
        <v>3</v>
      </c>
      <c r="B7" s="103">
        <f>IF(Arbeitslisten!D50&gt;0,Arbeitslisten!D50,0)</f>
        <v>0</v>
      </c>
      <c r="C7" s="100" t="str">
        <f>IF(B7&gt;0,VLOOKUP(B7,Arbeitslisten!$M$16:$Q$25,5,TRUE),"--")</f>
        <v>--</v>
      </c>
      <c r="D7" s="157">
        <f>IF(Analyse!$C47=0,0,IF($B7/Analyse!$C47&gt;0,$B7/Analyse!$C47,0))</f>
        <v>0</v>
      </c>
      <c r="E7" s="100" t="str">
        <f>IF(D7&gt;0,VLOOKUP(D7,Arbeitslisten!$N$16:$Q$25,4,TRUE),"--")</f>
        <v>--</v>
      </c>
      <c r="F7" s="104">
        <f>IF(Arbeitslisten!G50&gt;0,Arbeitslisten!G50/1000,0)</f>
        <v>0</v>
      </c>
      <c r="G7" s="100"/>
      <c r="H7" s="245">
        <f>IF(Analyse!C47&gt;0,G50/Analyse!C47,0)</f>
        <v>0</v>
      </c>
      <c r="I7" s="100" t="str">
        <f>IF(H7&gt;0,VLOOKUP(H7,Arbeitslisten!$O$16:$Q$25,3,TRUE),"--")</f>
        <v>--</v>
      </c>
      <c r="J7" s="105">
        <f t="shared" si="0"/>
        <v>0</v>
      </c>
      <c r="K7" s="238" t="str">
        <f>IF(J7&gt;0,VLOOKUP(J7,Arbeitslisten!$P$16:$Q$25,2,TRUE),"--")</f>
        <v>--</v>
      </c>
      <c r="M7" s="110">
        <v>119952.17973778812</v>
      </c>
      <c r="N7" s="93">
        <v>228.30349304876768</v>
      </c>
      <c r="O7" s="93">
        <v>45178.989441485348</v>
      </c>
      <c r="P7" s="87">
        <v>7.5203401697335082</v>
      </c>
      <c r="Q7" s="141">
        <v>0.7</v>
      </c>
    </row>
    <row r="8" spans="1:22">
      <c r="A8" s="5" t="s">
        <v>4</v>
      </c>
      <c r="B8" s="103">
        <f>IF(Arbeitslisten!D51&gt;0,Arbeitslisten!D51,0)</f>
        <v>0</v>
      </c>
      <c r="C8" s="100" t="str">
        <f>IF(B8&gt;0,VLOOKUP(B8,Arbeitslisten!$M$16:$Q$25,5,TRUE),"--")</f>
        <v>--</v>
      </c>
      <c r="D8" s="157">
        <f>IF(Analyse!$C48=0,0,IF($B8/Analyse!$C48&gt;0,$B8/Analyse!$C48,0))</f>
        <v>0</v>
      </c>
      <c r="E8" s="100" t="str">
        <f>IF(D8&gt;0,VLOOKUP(D8,Arbeitslisten!$N$16:$Q$25,4,TRUE),"--")</f>
        <v>--</v>
      </c>
      <c r="F8" s="104">
        <f>IF(Arbeitslisten!G51&gt;0,Arbeitslisten!G51/1000,0)</f>
        <v>0</v>
      </c>
      <c r="G8" s="100"/>
      <c r="H8" s="245">
        <f>IF(Analyse!C48&gt;0,G51/Analyse!C48,0)</f>
        <v>0</v>
      </c>
      <c r="I8" s="100" t="str">
        <f>IF(H8&gt;0,VLOOKUP(H8,Arbeitslisten!$O$16:$Q$25,3,TRUE),"--")</f>
        <v>--</v>
      </c>
      <c r="J8" s="105">
        <f t="shared" si="0"/>
        <v>0</v>
      </c>
      <c r="K8" s="238" t="str">
        <f>IF(J8&gt;0,VLOOKUP(J8,Arbeitslisten!$P$16:$Q$25,2,TRUE),"--")</f>
        <v>--</v>
      </c>
      <c r="M8" s="173">
        <v>81654.304975044521</v>
      </c>
      <c r="N8" s="174">
        <v>178.99593658038046</v>
      </c>
      <c r="O8" s="174">
        <v>31950.664781335396</v>
      </c>
      <c r="P8" s="175">
        <v>6.5177514723258581</v>
      </c>
      <c r="Q8" s="176">
        <v>0.6</v>
      </c>
      <c r="R8" s="196" t="s">
        <v>62</v>
      </c>
    </row>
    <row r="9" spans="1:22" ht="15.75" thickBot="1">
      <c r="A9" s="5" t="s">
        <v>5</v>
      </c>
      <c r="B9" s="103">
        <f>IF(Arbeitslisten!D52&gt;0,Arbeitslisten!D52,0)</f>
        <v>0</v>
      </c>
      <c r="C9" s="100" t="str">
        <f>IF(B9&gt;0,VLOOKUP(B9,Arbeitslisten!$M$16:$Q$25,5,TRUE),"--")</f>
        <v>--</v>
      </c>
      <c r="D9" s="157">
        <f>IF(Analyse!$C49=0,0,IF($B9/Analyse!$C49&gt;0,$B9/Analyse!$C49,0))</f>
        <v>0</v>
      </c>
      <c r="E9" s="100" t="str">
        <f>IF(D9&gt;0,VLOOKUP(D9,Arbeitslisten!$N$16:$Q$25,4,TRUE),"--")</f>
        <v>--</v>
      </c>
      <c r="F9" s="104">
        <f>IF(Arbeitslisten!G52&gt;0,Arbeitslisten!G52/1000,0)</f>
        <v>0</v>
      </c>
      <c r="G9" s="100"/>
      <c r="H9" s="245">
        <f>IF(Analyse!C49&gt;0,G52/Analyse!C49,0)</f>
        <v>0</v>
      </c>
      <c r="I9" s="100" t="str">
        <f>IF(H9&gt;0,VLOOKUP(H9,Arbeitslisten!$O$16:$Q$25,3,TRUE),"--")</f>
        <v>--</v>
      </c>
      <c r="J9" s="105">
        <f t="shared" si="0"/>
        <v>0</v>
      </c>
      <c r="K9" s="238" t="str">
        <f>IF(J9&gt;0,VLOOKUP(J9,Arbeitslisten!$P$16:$Q$25,2,TRUE),"--")</f>
        <v>--</v>
      </c>
      <c r="M9" s="177">
        <v>58516.66504862369</v>
      </c>
      <c r="N9" s="178">
        <v>132.34864975274451</v>
      </c>
      <c r="O9" s="178">
        <v>22164.978687545008</v>
      </c>
      <c r="P9" s="179">
        <v>5.8059304982296105</v>
      </c>
      <c r="Q9" s="180">
        <v>0.5</v>
      </c>
      <c r="R9" s="197"/>
    </row>
    <row r="10" spans="1:22">
      <c r="A10" s="5" t="s">
        <v>6</v>
      </c>
      <c r="B10" s="103">
        <f>IF(Arbeitslisten!D53&gt;0,Arbeitslisten!D53,0)</f>
        <v>0</v>
      </c>
      <c r="C10" s="100" t="str">
        <f>IF(B10&gt;0,VLOOKUP(B10,Arbeitslisten!$M$16:$Q$25,5,TRUE),"--")</f>
        <v>--</v>
      </c>
      <c r="D10" s="157">
        <f>IF(Analyse!$C50=0,0,IF($B10/Analyse!$C50&gt;0,$B10/Analyse!$C50,0))</f>
        <v>0</v>
      </c>
      <c r="E10" s="100" t="str">
        <f>IF(D10&gt;0,VLOOKUP(D10,Arbeitslisten!$N$16:$Q$25,4,TRUE),"--")</f>
        <v>--</v>
      </c>
      <c r="F10" s="104">
        <f>IF(Arbeitslisten!G53&gt;0,Arbeitslisten!G53/1000,0)</f>
        <v>0</v>
      </c>
      <c r="G10" s="100"/>
      <c r="H10" s="245">
        <f>IF(Analyse!C50&gt;0,G53/Analyse!C50,0)</f>
        <v>0</v>
      </c>
      <c r="I10" s="100" t="str">
        <f>IF(H10&gt;0,VLOOKUP(H10,Arbeitslisten!$O$16:$Q$25,3,TRUE),"--")</f>
        <v>--</v>
      </c>
      <c r="J10" s="105">
        <f t="shared" si="0"/>
        <v>0</v>
      </c>
      <c r="K10" s="238" t="str">
        <f>IF(J10&gt;0,VLOOKUP(J10,Arbeitslisten!$P$16:$Q$25,2,TRUE),"--")</f>
        <v>--</v>
      </c>
      <c r="M10" s="111">
        <v>41995.013788890377</v>
      </c>
      <c r="N10" s="92">
        <v>96.866704739066137</v>
      </c>
      <c r="O10" s="92">
        <v>15376.110416873125</v>
      </c>
      <c r="P10" s="86">
        <v>5.1719368528662111</v>
      </c>
      <c r="Q10" s="142">
        <v>0.4</v>
      </c>
    </row>
    <row r="11" spans="1:22">
      <c r="A11" s="5" t="s">
        <v>7</v>
      </c>
      <c r="B11" s="103">
        <f>IF(Arbeitslisten!D54&gt;0,Arbeitslisten!D54,0)</f>
        <v>0</v>
      </c>
      <c r="C11" s="100" t="str">
        <f>IF(B11&gt;0,VLOOKUP(B11,Arbeitslisten!$M$16:$Q$25,5,TRUE),"--")</f>
        <v>--</v>
      </c>
      <c r="D11" s="157">
        <f>IF(Analyse!$C51=0,0,IF($B11/Analyse!$C51&gt;0,$B11/Analyse!$C51,0))</f>
        <v>0</v>
      </c>
      <c r="E11" s="100" t="str">
        <f>IF(D11&gt;0,VLOOKUP(D11,Arbeitslisten!$N$16:$Q$25,4,TRUE),"--")</f>
        <v>--</v>
      </c>
      <c r="F11" s="104">
        <f>IF(Arbeitslisten!G54&gt;0,Arbeitslisten!G54/1000,0)</f>
        <v>0</v>
      </c>
      <c r="G11" s="100"/>
      <c r="H11" s="245">
        <f>IF(Analyse!C51&gt;0,G54/Analyse!C51,0)</f>
        <v>0</v>
      </c>
      <c r="I11" s="100" t="str">
        <f>IF(H11&gt;0,VLOOKUP(H11,Arbeitslisten!$O$16:$Q$25,3,TRUE),"--")</f>
        <v>--</v>
      </c>
      <c r="J11" s="105">
        <f t="shared" si="0"/>
        <v>0</v>
      </c>
      <c r="K11" s="238" t="str">
        <f>IF(J11&gt;0,VLOOKUP(J11,Arbeitslisten!$P$16:$Q$25,2,TRUE),"--")</f>
        <v>--</v>
      </c>
      <c r="M11" s="112">
        <v>29251.576817314726</v>
      </c>
      <c r="N11" s="91">
        <v>71.48753689319912</v>
      </c>
      <c r="O11" s="91">
        <v>10720.70071135032</v>
      </c>
      <c r="P11" s="85">
        <v>4.6003124771365007</v>
      </c>
      <c r="Q11" s="143">
        <v>0.3</v>
      </c>
    </row>
    <row r="12" spans="1:22">
      <c r="A12" s="5" t="s">
        <v>8</v>
      </c>
      <c r="B12" s="103">
        <f>IF(Arbeitslisten!D55&gt;0,Arbeitslisten!D55,0)</f>
        <v>0</v>
      </c>
      <c r="C12" s="100" t="str">
        <f>IF(B12&gt;0,VLOOKUP(B12,Arbeitslisten!$M$16:$Q$25,5,TRUE),"--")</f>
        <v>--</v>
      </c>
      <c r="D12" s="157">
        <f>IF(Analyse!$C52=0,0,IF($B12/Analyse!$C52&gt;0,$B12/Analyse!$C52,0))</f>
        <v>0</v>
      </c>
      <c r="E12" s="100" t="str">
        <f>IF(D12&gt;0,VLOOKUP(D12,Arbeitslisten!$N$16:$Q$25,4,TRUE),"--")</f>
        <v>--</v>
      </c>
      <c r="F12" s="104">
        <f>IF(Arbeitslisten!G55&gt;0,Arbeitslisten!G55/1000,0)</f>
        <v>0</v>
      </c>
      <c r="G12" s="100"/>
      <c r="H12" s="245">
        <f>IF(Analyse!C52&gt;0,G55/Analyse!C52,0)</f>
        <v>0</v>
      </c>
      <c r="I12" s="100" t="str">
        <f>IF(H12&gt;0,VLOOKUP(H12,Arbeitslisten!$O$16:$Q$25,3,TRUE),"--")</f>
        <v>--</v>
      </c>
      <c r="J12" s="105">
        <f t="shared" si="0"/>
        <v>0</v>
      </c>
      <c r="K12" s="238" t="str">
        <f>IF(J12&gt;0,VLOOKUP(J12,Arbeitslisten!$P$16:$Q$25,2,TRUE),"--")</f>
        <v>--</v>
      </c>
      <c r="M12" s="113">
        <v>18165.993626939748</v>
      </c>
      <c r="N12" s="90">
        <v>49.985635853097413</v>
      </c>
      <c r="O12" s="90">
        <v>7329.5239246592992</v>
      </c>
      <c r="P12" s="84">
        <v>4.0458002314458801</v>
      </c>
      <c r="Q12" s="144">
        <v>0.2</v>
      </c>
      <c r="V12" s="4"/>
    </row>
    <row r="13" spans="1:22" ht="15.75" thickBot="1">
      <c r="A13" s="5" t="s">
        <v>9</v>
      </c>
      <c r="B13" s="103">
        <f>IF(Arbeitslisten!D56&gt;0,Arbeitslisten!D56,0)</f>
        <v>0</v>
      </c>
      <c r="C13" s="100" t="str">
        <f>IF(B13&gt;0,VLOOKUP(B13,Arbeitslisten!$M$16:$Q$25,5,TRUE),"--")</f>
        <v>--</v>
      </c>
      <c r="D13" s="157">
        <f>IF(Analyse!$C53=0,0,IF($B13/Analyse!$C53&gt;0,$B13/Analyse!$C53,0))</f>
        <v>0</v>
      </c>
      <c r="E13" s="100" t="str">
        <f>IF(D13&gt;0,VLOOKUP(D13,Arbeitslisten!$N$16:$Q$25,4,TRUE),"--")</f>
        <v>--</v>
      </c>
      <c r="F13" s="104">
        <f>IF(Arbeitslisten!G56&gt;0,Arbeitslisten!G56/1000,0)</f>
        <v>0</v>
      </c>
      <c r="G13" s="100"/>
      <c r="H13" s="245">
        <f>IF(Analyse!C53&gt;0,G56/Analyse!C53,0)</f>
        <v>0</v>
      </c>
      <c r="I13" s="100" t="str">
        <f>IF(H13&gt;0,VLOOKUP(H13,Arbeitslisten!$O$16:$Q$25,3,TRUE),"--")</f>
        <v>--</v>
      </c>
      <c r="J13" s="105">
        <f t="shared" si="0"/>
        <v>0</v>
      </c>
      <c r="K13" s="238" t="str">
        <f>IF(J13&gt;0,VLOOKUP(J13,Arbeitslisten!$P$16:$Q$25,2,TRUE),"--")</f>
        <v>--</v>
      </c>
      <c r="M13" s="114">
        <v>8229.622182268542</v>
      </c>
      <c r="N13" s="98">
        <v>27.008530720210626</v>
      </c>
      <c r="O13" s="98">
        <v>4377.8475217613541</v>
      </c>
      <c r="P13" s="99">
        <v>3.3311398766546256</v>
      </c>
      <c r="Q13" s="145">
        <v>0.1</v>
      </c>
      <c r="V13" s="4"/>
    </row>
    <row r="14" spans="1:22" ht="15.75" thickBot="1">
      <c r="A14" s="5" t="s">
        <v>10</v>
      </c>
      <c r="B14" s="103">
        <f>IF(Arbeitslisten!D57&gt;0,Arbeitslisten!D57,0)</f>
        <v>0</v>
      </c>
      <c r="C14" s="100" t="str">
        <f>IF(B14&gt;0,VLOOKUP(B14,Arbeitslisten!$M$16:$Q$25,5,TRUE),"--")</f>
        <v>--</v>
      </c>
      <c r="D14" s="157">
        <f>IF(Analyse!$C54=0,0,IF($B14/Analyse!$C54&gt;0,$B14/Analyse!$C54,0))</f>
        <v>0</v>
      </c>
      <c r="E14" s="100" t="str">
        <f>IF(D14&gt;0,VLOOKUP(D14,Arbeitslisten!$N$16:$Q$25,4,TRUE),"--")</f>
        <v>--</v>
      </c>
      <c r="F14" s="104">
        <f>IF(Arbeitslisten!G57&gt;0,Arbeitslisten!G57/1000,0)</f>
        <v>0</v>
      </c>
      <c r="G14" s="100"/>
      <c r="H14" s="245">
        <f>IF(Analyse!C54&gt;0,G57/Analyse!C54,0)</f>
        <v>0</v>
      </c>
      <c r="I14" s="100" t="str">
        <f>IF(H14&gt;0,VLOOKUP(H14,Arbeitslisten!$O$16:$Q$25,3,TRUE),"--")</f>
        <v>--</v>
      </c>
      <c r="J14" s="105">
        <f t="shared" si="0"/>
        <v>0</v>
      </c>
      <c r="K14" s="238" t="str">
        <f>IF(J14&gt;0,VLOOKUP(J14,Arbeitslisten!$P$16:$Q$25,2,TRUE),"--")</f>
        <v>--</v>
      </c>
      <c r="M14" s="15" t="s">
        <v>70</v>
      </c>
      <c r="N14" s="9"/>
      <c r="O14" s="9"/>
      <c r="P14" s="9"/>
      <c r="Q14" s="16"/>
      <c r="V14" s="4"/>
    </row>
    <row r="15" spans="1:22" ht="15.75" thickBot="1">
      <c r="A15" s="5" t="s">
        <v>11</v>
      </c>
      <c r="B15" s="103">
        <f>IF(Arbeitslisten!D58&gt;0,Arbeitslisten!D58,0)</f>
        <v>0</v>
      </c>
      <c r="C15" s="100" t="str">
        <f>IF(B15&gt;0,VLOOKUP(B15,Arbeitslisten!$M$16:$Q$25,5,TRUE),"--")</f>
        <v>--</v>
      </c>
      <c r="D15" s="157">
        <f>IF(Analyse!$C55=0,0,IF($B15/Analyse!$C55&gt;0,$B15/Analyse!$C55,0))</f>
        <v>0</v>
      </c>
      <c r="E15" s="100" t="str">
        <f>IF(D15&gt;0,VLOOKUP(D15,Arbeitslisten!$N$16:$Q$25,4,TRUE),"--")</f>
        <v>--</v>
      </c>
      <c r="F15" s="104">
        <f>IF(Arbeitslisten!G58&gt;0,Arbeitslisten!G58/1000,0)</f>
        <v>0</v>
      </c>
      <c r="G15" s="100"/>
      <c r="H15" s="245">
        <f>IF(Analyse!C55&gt;0,G58/Analyse!C55,0)</f>
        <v>0</v>
      </c>
      <c r="I15" s="100" t="str">
        <f>IF(H15&gt;0,VLOOKUP(H15,Arbeitslisten!$O$16:$Q$25,3,TRUE),"--")</f>
        <v>--</v>
      </c>
      <c r="J15" s="105">
        <f t="shared" si="0"/>
        <v>0</v>
      </c>
      <c r="K15" s="238" t="str">
        <f>IF(J15&gt;0,VLOOKUP(J15,Arbeitslisten!$P$16:$Q$25,2,TRUE),"--")</f>
        <v>--</v>
      </c>
      <c r="M15" s="15"/>
      <c r="N15" s="9"/>
      <c r="O15" s="9"/>
      <c r="P15" s="9"/>
      <c r="Q15" s="115" t="s">
        <v>67</v>
      </c>
      <c r="V15" s="4"/>
    </row>
    <row r="16" spans="1:22">
      <c r="A16" s="5" t="s">
        <v>12</v>
      </c>
      <c r="B16" s="103">
        <f>IF(Arbeitslisten!D59&gt;0,Arbeitslisten!D59,0)</f>
        <v>0</v>
      </c>
      <c r="C16" s="100" t="str">
        <f>IF(B16&gt;0,VLOOKUP(B16,Arbeitslisten!$M$16:$Q$25,5,TRUE),"--")</f>
        <v>--</v>
      </c>
      <c r="D16" s="157">
        <f>IF(Analyse!$C56=0,0,IF($B16/Analyse!$C56&gt;0,$B16/Analyse!$C56,0))</f>
        <v>0</v>
      </c>
      <c r="E16" s="100" t="str">
        <f>IF(D16&gt;0,VLOOKUP(D16,Arbeitslisten!$N$16:$Q$25,4,TRUE),"--")</f>
        <v>--</v>
      </c>
      <c r="F16" s="104">
        <f>IF(Arbeitslisten!G59&gt;0,Arbeitslisten!G59/1000,0)</f>
        <v>0</v>
      </c>
      <c r="G16" s="100"/>
      <c r="H16" s="245">
        <f>IF(Analyse!C56&gt;0,G59/Analyse!C56,0)</f>
        <v>0</v>
      </c>
      <c r="I16" s="100" t="str">
        <f>IF(H16&gt;0,VLOOKUP(H16,Arbeitslisten!$O$16:$Q$25,3,TRUE),"--")</f>
        <v>--</v>
      </c>
      <c r="J16" s="105">
        <f t="shared" si="0"/>
        <v>0</v>
      </c>
      <c r="K16" s="238" t="str">
        <f>IF(J16&gt;0,VLOOKUP(J16,Arbeitslisten!$P$16:$Q$25,2,TRUE),"--")</f>
        <v>--</v>
      </c>
      <c r="M16" s="153">
        <v>0</v>
      </c>
      <c r="N16" s="155">
        <v>0</v>
      </c>
      <c r="O16" s="155">
        <v>0</v>
      </c>
      <c r="P16" s="156">
        <v>0</v>
      </c>
      <c r="Q16" s="154">
        <v>1</v>
      </c>
      <c r="V16" s="4"/>
    </row>
    <row r="17" spans="1:22">
      <c r="A17" s="5" t="s">
        <v>13</v>
      </c>
      <c r="B17" s="103">
        <f>IF(Arbeitslisten!D60&gt;0,Arbeitslisten!D60,0)</f>
        <v>0</v>
      </c>
      <c r="C17" s="100" t="str">
        <f>IF(B17&gt;0,VLOOKUP(B17,Arbeitslisten!$M$16:$Q$25,5,TRUE),"--")</f>
        <v>--</v>
      </c>
      <c r="D17" s="157">
        <f>IF(Analyse!$C57=0,0,IF($B17/Analyse!$C57&gt;0,$B17/Analyse!$C57,0))</f>
        <v>0</v>
      </c>
      <c r="E17" s="100" t="str">
        <f>IF(D17&gt;0,VLOOKUP(D17,Arbeitslisten!$N$16:$Q$25,4,TRUE),"--")</f>
        <v>--</v>
      </c>
      <c r="F17" s="104">
        <f>IF(Arbeitslisten!G60&gt;0,Arbeitslisten!G60/1000,0)</f>
        <v>0</v>
      </c>
      <c r="G17" s="100"/>
      <c r="H17" s="245">
        <f>IF(Analyse!C57&gt;0,G60/Analyse!C57,0)</f>
        <v>0</v>
      </c>
      <c r="I17" s="100" t="str">
        <f>IF(H17&gt;0,VLOOKUP(H17,Arbeitslisten!$O$16:$Q$25,3,TRUE),"--")</f>
        <v>--</v>
      </c>
      <c r="J17" s="105">
        <f t="shared" si="0"/>
        <v>0</v>
      </c>
      <c r="K17" s="238" t="str">
        <f>IF(J17&gt;0,VLOOKUP(J17,Arbeitslisten!$P$16:$Q$25,2,TRUE),"--")</f>
        <v>--</v>
      </c>
      <c r="M17" s="113">
        <v>8230</v>
      </c>
      <c r="N17" s="90">
        <v>28</v>
      </c>
      <c r="O17" s="90">
        <v>4378</v>
      </c>
      <c r="P17" s="131">
        <v>3.3311999999999999</v>
      </c>
      <c r="Q17" s="146">
        <v>2</v>
      </c>
      <c r="V17" s="4"/>
    </row>
    <row r="18" spans="1:22">
      <c r="A18" s="5" t="s">
        <v>14</v>
      </c>
      <c r="B18" s="103">
        <f>IF(Arbeitslisten!D61&gt;0,Arbeitslisten!D61,0)</f>
        <v>0</v>
      </c>
      <c r="C18" s="100" t="str">
        <f>IF(B18&gt;0,VLOOKUP(B18,Arbeitslisten!$M$16:$Q$25,5,TRUE),"--")</f>
        <v>--</v>
      </c>
      <c r="D18" s="157">
        <f>IF(Analyse!$C58=0,0,IF($B18/Analyse!$C58&gt;0,$B18/Analyse!$C58,0))</f>
        <v>0</v>
      </c>
      <c r="E18" s="100" t="str">
        <f>IF(D18&gt;0,VLOOKUP(D18,Arbeitslisten!$N$16:$Q$25,4,TRUE),"--")</f>
        <v>--</v>
      </c>
      <c r="F18" s="104">
        <f>IF(Arbeitslisten!G61&gt;0,Arbeitslisten!G61/1000,0)</f>
        <v>0</v>
      </c>
      <c r="G18" s="100"/>
      <c r="H18" s="245">
        <f>IF(Analyse!C58&gt;0,G61/Analyse!C58,0)</f>
        <v>0</v>
      </c>
      <c r="I18" s="100" t="str">
        <f>IF(H18&gt;0,VLOOKUP(H18,Arbeitslisten!$O$16:$Q$25,3,TRUE),"--")</f>
        <v>--</v>
      </c>
      <c r="J18" s="105">
        <f t="shared" si="0"/>
        <v>0</v>
      </c>
      <c r="K18" s="238" t="str">
        <f>IF(J18&gt;0,VLOOKUP(J18,Arbeitslisten!$P$16:$Q$25,2,TRUE),"--")</f>
        <v>--</v>
      </c>
      <c r="M18" s="112">
        <v>18166</v>
      </c>
      <c r="N18" s="91">
        <v>50</v>
      </c>
      <c r="O18" s="91">
        <v>7330</v>
      </c>
      <c r="P18" s="132">
        <v>4.0457999999999998</v>
      </c>
      <c r="Q18" s="147">
        <v>3</v>
      </c>
      <c r="V18" s="4"/>
    </row>
    <row r="19" spans="1:22" ht="15.75" thickBot="1">
      <c r="A19" s="5" t="s">
        <v>15</v>
      </c>
      <c r="B19" s="103">
        <f>IF(Arbeitslisten!D62&gt;0,Arbeitslisten!D62,0)</f>
        <v>0</v>
      </c>
      <c r="C19" s="100" t="str">
        <f>IF(B19&gt;0,VLOOKUP(B19,Arbeitslisten!$M$16:$Q$25,5,TRUE),"--")</f>
        <v>--</v>
      </c>
      <c r="D19" s="157">
        <f>IF(Analyse!$C59=0,0,IF($B19/Analyse!$C59&gt;0,$B19/Analyse!$C59,0))</f>
        <v>0</v>
      </c>
      <c r="E19" s="100" t="str">
        <f>IF(D19&gt;0,VLOOKUP(D19,Arbeitslisten!$N$16:$Q$25,4,TRUE),"--")</f>
        <v>--</v>
      </c>
      <c r="F19" s="104">
        <f>IF(Arbeitslisten!G62&gt;0,Arbeitslisten!G62/1000,0)</f>
        <v>0</v>
      </c>
      <c r="G19" s="100"/>
      <c r="H19" s="245">
        <f>IF(Analyse!C59&gt;0,G62/Analyse!C59,0)</f>
        <v>0</v>
      </c>
      <c r="I19" s="100" t="str">
        <f>IF(H19&gt;0,VLOOKUP(H19,Arbeitslisten!$O$16:$Q$25,3,TRUE),"--")</f>
        <v>--</v>
      </c>
      <c r="J19" s="105">
        <f>IF(F19=0,0,IF(B19/F19&gt;0,B19/F19,0))</f>
        <v>0</v>
      </c>
      <c r="K19" s="238" t="str">
        <f>IF(J19&gt;0,VLOOKUP(J19,Arbeitslisten!$P$16:$Q$25,2,TRUE),"--")</f>
        <v>--</v>
      </c>
      <c r="M19" s="111">
        <v>29252</v>
      </c>
      <c r="N19" s="92">
        <v>72</v>
      </c>
      <c r="O19" s="92">
        <v>10721</v>
      </c>
      <c r="P19" s="133">
        <v>4.6003999999999996</v>
      </c>
      <c r="Q19" s="148">
        <v>4</v>
      </c>
      <c r="V19" s="4"/>
    </row>
    <row r="20" spans="1:22">
      <c r="A20" s="5" t="s">
        <v>16</v>
      </c>
      <c r="B20" s="103">
        <f>IF(Arbeitslisten!D63&gt;0,Arbeitslisten!D63,0)</f>
        <v>0</v>
      </c>
      <c r="C20" s="100" t="str">
        <f>IF(B20&gt;0,VLOOKUP(B20,Arbeitslisten!$M$16:$Q$25,5,TRUE),"--")</f>
        <v>--</v>
      </c>
      <c r="D20" s="157">
        <f>IF(Analyse!$C60=0,0,IF($B20/Analyse!$C60&gt;0,$B20/Analyse!$C60,0))</f>
        <v>0</v>
      </c>
      <c r="E20" s="100" t="str">
        <f>IF(D20&gt;0,VLOOKUP(D20,Arbeitslisten!$N$16:$Q$25,4,TRUE),"--")</f>
        <v>--</v>
      </c>
      <c r="F20" s="104">
        <f>IF(Arbeitslisten!G63&gt;0,Arbeitslisten!G63/1000,0)</f>
        <v>0</v>
      </c>
      <c r="G20" s="100"/>
      <c r="H20" s="245">
        <f>IF(Analyse!C60&gt;0,G63/Analyse!C60,0)</f>
        <v>0</v>
      </c>
      <c r="I20" s="100" t="str">
        <f>IF(H20&gt;0,VLOOKUP(H20,Arbeitslisten!$O$16:$Q$25,3,TRUE),"--")</f>
        <v>--</v>
      </c>
      <c r="J20" s="105">
        <f t="shared" si="0"/>
        <v>0</v>
      </c>
      <c r="K20" s="238" t="str">
        <f>IF(J20&gt;0,VLOOKUP(J20,Arbeitslisten!$P$16:$Q$25,2,TRUE),"--")</f>
        <v>--</v>
      </c>
      <c r="M20" s="165">
        <v>41996</v>
      </c>
      <c r="N20" s="166">
        <v>97</v>
      </c>
      <c r="O20" s="166">
        <v>15377</v>
      </c>
      <c r="P20" s="167">
        <v>5.1719999999999997</v>
      </c>
      <c r="Q20" s="168">
        <v>5</v>
      </c>
      <c r="R20" s="196" t="s">
        <v>62</v>
      </c>
      <c r="V20" s="4"/>
    </row>
    <row r="21" spans="1:22" ht="15.75" thickBot="1">
      <c r="A21" s="5" t="s">
        <v>17</v>
      </c>
      <c r="B21" s="103">
        <f>IF(Arbeitslisten!D64&gt;0,Arbeitslisten!D64,0)</f>
        <v>0</v>
      </c>
      <c r="C21" s="100" t="str">
        <f>IF(B21&gt;0,VLOOKUP(B21,Arbeitslisten!$M$16:$Q$25,5,TRUE),"--")</f>
        <v>--</v>
      </c>
      <c r="D21" s="157">
        <f>IF(Analyse!$C61=0,0,IF($B21/Analyse!$C61&gt;0,$B21/Analyse!$C61,0))</f>
        <v>0</v>
      </c>
      <c r="E21" s="100" t="str">
        <f>IF(D21&gt;0,VLOOKUP(D21,Arbeitslisten!$N$16:$Q$25,4,TRUE),"--")</f>
        <v>--</v>
      </c>
      <c r="F21" s="104">
        <f>IF(Arbeitslisten!G64&gt;0,Arbeitslisten!G64/1000,0)</f>
        <v>0</v>
      </c>
      <c r="G21" s="100"/>
      <c r="H21" s="245">
        <f>IF(Analyse!C61&gt;0,G64/Analyse!C61,0)</f>
        <v>0</v>
      </c>
      <c r="I21" s="100" t="str">
        <f>IF(H21&gt;0,VLOOKUP(H21,Arbeitslisten!$O$16:$Q$25,3,TRUE),"--")</f>
        <v>--</v>
      </c>
      <c r="J21" s="105">
        <f t="shared" si="0"/>
        <v>0</v>
      </c>
      <c r="K21" s="238" t="str">
        <f>IF(J21&gt;0,VLOOKUP(J21,Arbeitslisten!$P$16:$Q$25,2,TRUE),"--")</f>
        <v>--</v>
      </c>
      <c r="M21" s="169">
        <v>58517</v>
      </c>
      <c r="N21" s="170">
        <v>133</v>
      </c>
      <c r="O21" s="170">
        <v>22165</v>
      </c>
      <c r="P21" s="171">
        <v>5.806</v>
      </c>
      <c r="Q21" s="172">
        <v>6</v>
      </c>
      <c r="R21" s="197"/>
      <c r="V21" s="4"/>
    </row>
    <row r="22" spans="1:22">
      <c r="A22" s="5" t="s">
        <v>18</v>
      </c>
      <c r="B22" s="103">
        <f>IF(Arbeitslisten!D65&gt;0,Arbeitslisten!D65,0)</f>
        <v>0</v>
      </c>
      <c r="C22" s="100" t="str">
        <f>IF(B22&gt;0,VLOOKUP(B22,Arbeitslisten!$M$16:$Q$25,5,TRUE),"--")</f>
        <v>--</v>
      </c>
      <c r="D22" s="157">
        <f>IF(Analyse!$C62=0,0,IF($B22/Analyse!$C62&gt;0,$B22/Analyse!$C62,0))</f>
        <v>0</v>
      </c>
      <c r="E22" s="100" t="str">
        <f>IF(D22&gt;0,VLOOKUP(D22,Arbeitslisten!$N$16:$Q$25,4,TRUE),"--")</f>
        <v>--</v>
      </c>
      <c r="F22" s="104">
        <f>IF(Arbeitslisten!G65&gt;0,Arbeitslisten!G65/1000,0)</f>
        <v>0</v>
      </c>
      <c r="G22" s="100"/>
      <c r="H22" s="245">
        <f>IF(Analyse!C62&gt;0,G65/Analyse!C62,0)</f>
        <v>0</v>
      </c>
      <c r="I22" s="100" t="str">
        <f>IF(H22&gt;0,VLOOKUP(H22,Arbeitslisten!$O$16:$Q$25,3,TRUE),"--")</f>
        <v>--</v>
      </c>
      <c r="J22" s="105">
        <f>IF(F22=0,0,IF(B22/F22&gt;0,B22/F22,0))</f>
        <v>0</v>
      </c>
      <c r="K22" s="238" t="str">
        <f>IF(J22&gt;0,VLOOKUP(J22,Arbeitslisten!$P$16:$Q$25,2,TRUE),"--")</f>
        <v>--</v>
      </c>
      <c r="M22" s="110">
        <v>81655</v>
      </c>
      <c r="N22" s="93">
        <v>179</v>
      </c>
      <c r="O22" s="93">
        <v>31951</v>
      </c>
      <c r="P22" s="134">
        <v>6.5178000000000003</v>
      </c>
      <c r="Q22" s="149">
        <v>7</v>
      </c>
    </row>
    <row r="23" spans="1:22">
      <c r="A23" s="5" t="s">
        <v>19</v>
      </c>
      <c r="B23" s="103">
        <f>IF(Arbeitslisten!D66&gt;0,Arbeitslisten!D66,0)</f>
        <v>0</v>
      </c>
      <c r="C23" s="100" t="str">
        <f>IF(B23&gt;0,VLOOKUP(B23,Arbeitslisten!$M$16:$Q$25,5,TRUE),"--")</f>
        <v>--</v>
      </c>
      <c r="D23" s="157">
        <f>IF(Analyse!$C63=0,0,IF($B23/Analyse!$C63&gt;0,$B23/Analyse!$C63,0))</f>
        <v>0</v>
      </c>
      <c r="E23" s="100" t="str">
        <f>IF(D23&gt;0,VLOOKUP(D23,Arbeitslisten!$N$16:$Q$25,4,TRUE),"--")</f>
        <v>--</v>
      </c>
      <c r="F23" s="104">
        <f>IF(Arbeitslisten!G66&gt;0,Arbeitslisten!G66/1000,0)</f>
        <v>0</v>
      </c>
      <c r="G23" s="100"/>
      <c r="H23" s="245">
        <f>IF(Analyse!C63&gt;0,G66/Analyse!C63,0)</f>
        <v>0</v>
      </c>
      <c r="I23" s="100" t="str">
        <f>IF(H23&gt;0,VLOOKUP(H23,Arbeitslisten!$O$16:$Q$25,3,TRUE),"--")</f>
        <v>--</v>
      </c>
      <c r="J23" s="105">
        <f t="shared" si="0"/>
        <v>0</v>
      </c>
      <c r="K23" s="238" t="str">
        <f>IF(J23&gt;0,VLOOKUP(J23,Arbeitslisten!$P$16:$Q$25,2,TRUE),"--")</f>
        <v>--</v>
      </c>
      <c r="M23" s="109">
        <v>119953</v>
      </c>
      <c r="N23" s="94">
        <v>229</v>
      </c>
      <c r="O23" s="94">
        <v>45179</v>
      </c>
      <c r="P23" s="135">
        <v>7.5204000000000004</v>
      </c>
      <c r="Q23" s="150">
        <v>8</v>
      </c>
    </row>
    <row r="24" spans="1:22">
      <c r="A24" s="5" t="s">
        <v>20</v>
      </c>
      <c r="B24" s="103">
        <f>IF(Arbeitslisten!D67&gt;0,Arbeitslisten!D67,0)</f>
        <v>0</v>
      </c>
      <c r="C24" s="100" t="str">
        <f>IF(B24&gt;0,VLOOKUP(B24,Arbeitslisten!$M$16:$Q$25,5,TRUE),"--")</f>
        <v>--</v>
      </c>
      <c r="D24" s="157">
        <f>IF(Analyse!$C64=0,0,IF($B24/Analyse!$C64&gt;0,$B24/Analyse!$C64,0))</f>
        <v>0</v>
      </c>
      <c r="E24" s="100" t="str">
        <f>IF(D24&gt;0,VLOOKUP(D24,Arbeitslisten!$N$16:$Q$25,4,TRUE),"--")</f>
        <v>--</v>
      </c>
      <c r="F24" s="104">
        <f>IF(Arbeitslisten!G67&gt;0,Arbeitslisten!G67/1000,0)</f>
        <v>0</v>
      </c>
      <c r="G24" s="100"/>
      <c r="H24" s="245">
        <f>IF(Analyse!C64&gt;0,G67/Analyse!C64,0)</f>
        <v>0</v>
      </c>
      <c r="I24" s="100" t="str">
        <f>IF(H24&gt;0,VLOOKUP(H24,Arbeitslisten!$O$16:$Q$25,3,TRUE),"--")</f>
        <v>--</v>
      </c>
      <c r="J24" s="105">
        <f t="shared" si="0"/>
        <v>0</v>
      </c>
      <c r="K24" s="238" t="str">
        <f>IF(J24&gt;0,VLOOKUP(J24,Arbeitslisten!$P$16:$Q$25,2,TRUE),"--")</f>
        <v>--</v>
      </c>
      <c r="M24" s="108">
        <v>184130</v>
      </c>
      <c r="N24" s="95">
        <v>303</v>
      </c>
      <c r="O24" s="95">
        <v>59571</v>
      </c>
      <c r="P24" s="136">
        <v>8.9108999999999998</v>
      </c>
      <c r="Q24" s="151">
        <v>9</v>
      </c>
    </row>
    <row r="25" spans="1:22" ht="15.75" thickBot="1">
      <c r="A25" s="5" t="s">
        <v>21</v>
      </c>
      <c r="B25" s="103">
        <f>IF(Arbeitslisten!D68&gt;0,Arbeitslisten!D68,0)</f>
        <v>0</v>
      </c>
      <c r="C25" s="100" t="str">
        <f>IF(B25&gt;0,VLOOKUP(B25,Arbeitslisten!$M$16:$Q$25,5,TRUE),"--")</f>
        <v>--</v>
      </c>
      <c r="D25" s="157">
        <f>IF(Analyse!$C65=0,0,IF($B25/Analyse!$C65&gt;0,$B25/Analyse!$C65,0))</f>
        <v>0</v>
      </c>
      <c r="E25" s="100" t="str">
        <f>IF(D25&gt;0,VLOOKUP(D25,Arbeitslisten!$N$16:$Q$25,4,TRUE),"--")</f>
        <v>--</v>
      </c>
      <c r="F25" s="104">
        <f>IF(Arbeitslisten!G68&gt;0,Arbeitslisten!G68/1000,0)</f>
        <v>0</v>
      </c>
      <c r="G25" s="100"/>
      <c r="H25" s="245">
        <f>IF(Analyse!C65&gt;0,G68/Analyse!C65,0)</f>
        <v>0</v>
      </c>
      <c r="I25" s="100" t="str">
        <f>IF(H25&gt;0,VLOOKUP(H25,Arbeitslisten!$O$16:$Q$25,3,TRUE),"--")</f>
        <v>--</v>
      </c>
      <c r="J25" s="105">
        <f t="shared" si="0"/>
        <v>0</v>
      </c>
      <c r="K25" s="238" t="str">
        <f>IF(J25&gt;0,VLOOKUP(J25,Arbeitslisten!$P$16:$Q$25,2,TRUE),"--")</f>
        <v>--</v>
      </c>
      <c r="M25" s="116">
        <v>304649</v>
      </c>
      <c r="N25" s="117">
        <v>451</v>
      </c>
      <c r="O25" s="117">
        <v>77356</v>
      </c>
      <c r="P25" s="137">
        <v>11.137499999999999</v>
      </c>
      <c r="Q25" s="152">
        <v>10</v>
      </c>
    </row>
    <row r="26" spans="1:22">
      <c r="A26" s="5" t="s">
        <v>40</v>
      </c>
      <c r="B26" s="103">
        <f>IF(Arbeitslisten!D69&gt;0,Arbeitslisten!D69,0)</f>
        <v>0</v>
      </c>
      <c r="C26" s="100" t="str">
        <f>IF(B26&gt;0,VLOOKUP(B26,Arbeitslisten!$M$16:$Q$25,5,TRUE),"--")</f>
        <v>--</v>
      </c>
      <c r="D26" s="157">
        <f>IF(Analyse!$C66=0,0,IF($B26/Analyse!$C66&gt;0,$B26/Analyse!$C66,0))</f>
        <v>0</v>
      </c>
      <c r="E26" s="100" t="str">
        <f>IF(D26&gt;0,VLOOKUP(D26,Arbeitslisten!$N$16:$Q$25,4,TRUE),"--")</f>
        <v>--</v>
      </c>
      <c r="F26" s="104">
        <f>IF(Arbeitslisten!G69&gt;0,Arbeitslisten!G69/1000,0)</f>
        <v>0</v>
      </c>
      <c r="G26" s="100"/>
      <c r="H26" s="245">
        <f>IF(Analyse!C66&gt;0,G69/Analyse!C66,0)</f>
        <v>0</v>
      </c>
      <c r="I26" s="100" t="str">
        <f>IF(H26&gt;0,VLOOKUP(H26,Arbeitslisten!$O$16:$Q$25,3,TRUE),"--")</f>
        <v>--</v>
      </c>
      <c r="J26" s="105">
        <f t="shared" si="0"/>
        <v>0</v>
      </c>
      <c r="K26" s="238" t="str">
        <f>IF(J26&gt;0,VLOOKUP(J26,Arbeitslisten!$P$16:$Q$25,2,TRUE),"--")</f>
        <v>--</v>
      </c>
      <c r="M26" s="12" t="s">
        <v>69</v>
      </c>
      <c r="N26" s="13"/>
      <c r="O26" s="13"/>
      <c r="P26" s="13"/>
      <c r="Q26" s="14"/>
    </row>
    <row r="27" spans="1:22" ht="15.75" thickBot="1">
      <c r="A27" s="5" t="s">
        <v>46</v>
      </c>
      <c r="B27" s="103">
        <f>IF(Arbeitslisten!D70&gt;0,Arbeitslisten!D70,0)</f>
        <v>0</v>
      </c>
      <c r="C27" s="100" t="str">
        <f>IF(B27&gt;0,VLOOKUP(B27,Arbeitslisten!$M$16:$Q$25,5,TRUE),"--")</f>
        <v>--</v>
      </c>
      <c r="D27" s="157">
        <f>IF(Analyse!$C67=0,0,IF($B27/Analyse!$C67&gt;0,$B27/Analyse!$C67,0))</f>
        <v>0</v>
      </c>
      <c r="E27" s="100" t="str">
        <f>IF(D27&gt;0,VLOOKUP(D27,Arbeitslisten!$N$16:$Q$25,4,TRUE),"--")</f>
        <v>--</v>
      </c>
      <c r="F27" s="104">
        <f>IF(Arbeitslisten!G70&gt;0,Arbeitslisten!G70/1000,0)</f>
        <v>0</v>
      </c>
      <c r="G27" s="100"/>
      <c r="H27" s="245">
        <f>IF(Analyse!C67&gt;0,G70/Analyse!C67,0)</f>
        <v>0</v>
      </c>
      <c r="I27" s="100" t="str">
        <f>IF(H27&gt;0,VLOOKUP(H27,Arbeitslisten!$O$16:$Q$25,3,TRUE),"--")</f>
        <v>--</v>
      </c>
      <c r="J27" s="105">
        <f t="shared" si="0"/>
        <v>0</v>
      </c>
      <c r="K27" s="238" t="str">
        <f>IF(J27&gt;0,VLOOKUP(J27,Arbeitslisten!$P$16:$Q$25,2,TRUE),"--")</f>
        <v>--</v>
      </c>
      <c r="M27" s="17"/>
      <c r="N27" s="18"/>
      <c r="O27" s="18"/>
      <c r="P27" s="18"/>
      <c r="Q27" s="19"/>
    </row>
    <row r="28" spans="1:22" ht="15.75" thickBot="1">
      <c r="A28" s="5" t="s">
        <v>47</v>
      </c>
      <c r="B28" s="158">
        <f>IF(Arbeitslisten!D71&gt;0,Arbeitslisten!D71,0)</f>
        <v>0</v>
      </c>
      <c r="C28" s="101" t="str">
        <f>IF(B28&gt;0,VLOOKUP(B28,Arbeitslisten!$M$16:$Q$25,5,TRUE),"--")</f>
        <v>--</v>
      </c>
      <c r="D28" s="159">
        <f>IF(Analyse!$C68=0,0,IF($B28/Analyse!$C68&gt;0,$B28/Analyse!$C68,0))</f>
        <v>0</v>
      </c>
      <c r="E28" s="101" t="str">
        <f>IF(D28&gt;0,VLOOKUP(D28,Arbeitslisten!$N$16:$Q$25,4,TRUE),"--")</f>
        <v>--</v>
      </c>
      <c r="F28" s="160">
        <f>IF(Arbeitslisten!G71&gt;0,Arbeitslisten!G71/1000,0)</f>
        <v>0</v>
      </c>
      <c r="G28" s="101"/>
      <c r="H28" s="246">
        <f>IF(Analyse!C68&gt;0,G71/Analyse!C68,0)</f>
        <v>0</v>
      </c>
      <c r="I28" s="101" t="str">
        <f>IF(H28&gt;0,VLOOKUP(H28,Arbeitslisten!$O$16:$Q$25,3,TRUE),"--")</f>
        <v>--</v>
      </c>
      <c r="J28" s="161">
        <f t="shared" si="0"/>
        <v>0</v>
      </c>
      <c r="K28" s="102" t="str">
        <f>IF(J28&gt;0,VLOOKUP(J28,Arbeitslisten!$P$16:$Q$25,2,TRUE),"--")</f>
        <v>--</v>
      </c>
    </row>
    <row r="29" spans="1:22">
      <c r="F29" s="60"/>
      <c r="J29" s="6"/>
      <c r="N29" s="224"/>
      <c r="O29" s="224"/>
      <c r="P29" s="224"/>
      <c r="Q29" s="224"/>
      <c r="R29" s="224"/>
    </row>
    <row r="30" spans="1:22" ht="75">
      <c r="B30" s="56" t="s">
        <v>127</v>
      </c>
      <c r="D30" s="56" t="s">
        <v>128</v>
      </c>
      <c r="F30" s="56" t="s">
        <v>129</v>
      </c>
      <c r="H30" s="56" t="s">
        <v>130</v>
      </c>
      <c r="J30" s="56" t="s">
        <v>131</v>
      </c>
      <c r="O30" s="52"/>
      <c r="Q30" s="9"/>
    </row>
    <row r="31" spans="1:22">
      <c r="B31" s="240">
        <f>Analyse!E32</f>
        <v>0</v>
      </c>
      <c r="D31" s="241">
        <f>IF(Analyse!C70&lt;&gt;0,$B31/Analyse!$C70,0)</f>
        <v>0</v>
      </c>
      <c r="F31" s="25">
        <f>SUM(Arbeitslisten!F4:F28)*1000</f>
        <v>0</v>
      </c>
      <c r="H31" s="240">
        <f>IF(Analyse!C70&lt;&gt;0,F31/Analyse!C70,0)</f>
        <v>0</v>
      </c>
      <c r="J31" s="242">
        <f>IF(F31&lt;&gt;0,B31/F31*1000,0)</f>
        <v>0</v>
      </c>
    </row>
    <row r="35" spans="2:20" ht="15.75" thickBot="1">
      <c r="B35" t="s">
        <v>44</v>
      </c>
      <c r="E35" s="5" t="s">
        <v>106</v>
      </c>
      <c r="G35" t="s">
        <v>44</v>
      </c>
      <c r="I35" s="5" t="s">
        <v>115</v>
      </c>
    </row>
    <row r="36" spans="2:20">
      <c r="B36" s="12" t="s">
        <v>58</v>
      </c>
      <c r="C36" s="13"/>
      <c r="D36" s="13"/>
      <c r="E36" s="14">
        <v>300</v>
      </c>
      <c r="G36" s="12" t="s">
        <v>93</v>
      </c>
      <c r="H36" s="13"/>
      <c r="I36" s="14">
        <v>1</v>
      </c>
    </row>
    <row r="37" spans="2:20">
      <c r="B37" s="15" t="s">
        <v>59</v>
      </c>
      <c r="C37" s="9"/>
      <c r="D37" s="9"/>
      <c r="E37" s="16">
        <v>160</v>
      </c>
      <c r="G37" s="15" t="s">
        <v>92</v>
      </c>
      <c r="H37" s="9"/>
      <c r="I37" s="16">
        <v>10.85</v>
      </c>
    </row>
    <row r="38" spans="2:20">
      <c r="B38" s="15" t="s">
        <v>60</v>
      </c>
      <c r="C38" s="9"/>
      <c r="D38" s="9"/>
      <c r="E38" s="16">
        <v>100</v>
      </c>
      <c r="G38" s="15" t="s">
        <v>97</v>
      </c>
      <c r="H38" s="9"/>
      <c r="I38" s="16">
        <v>5</v>
      </c>
    </row>
    <row r="39" spans="2:20" ht="15.75" thickBot="1">
      <c r="B39" s="17" t="s">
        <v>61</v>
      </c>
      <c r="C39" s="18"/>
      <c r="D39" s="18"/>
      <c r="E39" s="19">
        <v>70</v>
      </c>
      <c r="G39" s="15" t="s">
        <v>96</v>
      </c>
      <c r="H39" s="9"/>
      <c r="I39" s="16">
        <v>2.89</v>
      </c>
    </row>
    <row r="40" spans="2:20">
      <c r="E40" s="286" t="s">
        <v>153</v>
      </c>
      <c r="G40" s="15" t="s">
        <v>94</v>
      </c>
      <c r="H40" s="9"/>
      <c r="I40" s="16">
        <v>9.02</v>
      </c>
    </row>
    <row r="41" spans="2:20">
      <c r="G41" s="15" t="s">
        <v>95</v>
      </c>
      <c r="H41" s="9"/>
      <c r="I41" s="16">
        <v>10.5</v>
      </c>
    </row>
    <row r="42" spans="2:20" ht="15.75" thickBot="1">
      <c r="G42" s="17" t="s">
        <v>98</v>
      </c>
      <c r="H42" s="18"/>
      <c r="I42" s="19">
        <v>7.9</v>
      </c>
    </row>
    <row r="43" spans="2:20">
      <c r="G43" s="244" t="s">
        <v>116</v>
      </c>
    </row>
    <row r="45" spans="2:20" ht="15.75" thickBot="1"/>
    <row r="46" spans="2:20" ht="117.75" thickBot="1">
      <c r="B46" s="254" t="s">
        <v>114</v>
      </c>
      <c r="C46" s="255" t="s">
        <v>120</v>
      </c>
      <c r="D46" s="256" t="s">
        <v>119</v>
      </c>
      <c r="E46" s="255" t="s">
        <v>134</v>
      </c>
      <c r="F46" s="255" t="s">
        <v>135</v>
      </c>
      <c r="G46" s="255" t="s">
        <v>123</v>
      </c>
      <c r="H46" s="257" t="s">
        <v>124</v>
      </c>
      <c r="I46" s="257" t="s">
        <v>118</v>
      </c>
      <c r="K46" s="223"/>
    </row>
    <row r="47" spans="2:20">
      <c r="B47" s="228" t="s">
        <v>22</v>
      </c>
      <c r="C47" s="225">
        <f>IF($D$72&lt;&gt;0,D47/$D$72,0)</f>
        <v>0</v>
      </c>
      <c r="D47" s="226">
        <f>Analyse!D44</f>
        <v>0</v>
      </c>
      <c r="E47" s="226"/>
      <c r="F47" s="227"/>
      <c r="G47" s="247">
        <f>Analyse!E44</f>
        <v>0</v>
      </c>
      <c r="H47" s="243">
        <f>IF(Analyse!C44&lt;&gt;0,G47/Analyse!C44,0)</f>
        <v>0</v>
      </c>
      <c r="I47" s="248">
        <f t="shared" ref="I47:I72" si="1">IF(G47&gt;0,D47/G47*1000,0)</f>
        <v>0</v>
      </c>
      <c r="K47" s="243"/>
      <c r="L47" s="4"/>
    </row>
    <row r="48" spans="2:20">
      <c r="B48" s="228" t="s">
        <v>23</v>
      </c>
      <c r="C48" s="225">
        <f t="shared" ref="C48:C71" si="2">IF($D$72&lt;&gt;0,D48/$D$72,0)</f>
        <v>0</v>
      </c>
      <c r="D48" s="226">
        <f>Analyse!D45</f>
        <v>0</v>
      </c>
      <c r="E48" s="226"/>
      <c r="F48" s="227"/>
      <c r="G48" s="247">
        <f>Analyse!E45</f>
        <v>0</v>
      </c>
      <c r="H48" s="243">
        <f>IF(Analyse!C45&lt;&gt;0,G48/Analyse!C45,0)</f>
        <v>0</v>
      </c>
      <c r="I48" s="248">
        <f t="shared" si="1"/>
        <v>0</v>
      </c>
      <c r="K48" s="243"/>
      <c r="O48" s="6"/>
      <c r="P48" s="6"/>
      <c r="Q48" s="6"/>
      <c r="R48" s="6"/>
      <c r="S48" s="6"/>
      <c r="T48" s="6"/>
    </row>
    <row r="49" spans="2:20">
      <c r="B49" s="228" t="s">
        <v>24</v>
      </c>
      <c r="C49" s="225">
        <f t="shared" si="2"/>
        <v>0</v>
      </c>
      <c r="D49" s="226">
        <f>Analyse!D46</f>
        <v>0</v>
      </c>
      <c r="E49" s="226"/>
      <c r="F49" s="227"/>
      <c r="G49" s="247">
        <f>Analyse!E46</f>
        <v>0</v>
      </c>
      <c r="H49" s="243">
        <f>IF(Analyse!C46&lt;&gt;0,G49/Analyse!C46,0)</f>
        <v>0</v>
      </c>
      <c r="I49" s="248">
        <f t="shared" si="1"/>
        <v>0</v>
      </c>
      <c r="K49" s="243"/>
      <c r="N49" s="7"/>
      <c r="P49" s="4"/>
      <c r="Q49" s="4"/>
      <c r="R49" s="4"/>
      <c r="S49" s="4"/>
      <c r="T49" s="6"/>
    </row>
    <row r="50" spans="2:20">
      <c r="B50" s="228" t="s">
        <v>25</v>
      </c>
      <c r="C50" s="225">
        <f t="shared" si="2"/>
        <v>0</v>
      </c>
      <c r="D50" s="226">
        <f>Analyse!D47</f>
        <v>0</v>
      </c>
      <c r="E50" s="226"/>
      <c r="F50" s="227"/>
      <c r="G50" s="247">
        <f>Analyse!E47</f>
        <v>0</v>
      </c>
      <c r="H50" s="243">
        <f>IF(Analyse!C47&lt;&gt;0,G50/Analyse!C47,0)</f>
        <v>0</v>
      </c>
      <c r="I50" s="248">
        <f t="shared" si="1"/>
        <v>0</v>
      </c>
      <c r="K50" s="243"/>
      <c r="N50" s="7"/>
      <c r="O50" s="4"/>
      <c r="P50" s="4"/>
      <c r="Q50" s="4"/>
      <c r="R50" s="4"/>
      <c r="S50" s="4"/>
      <c r="T50" s="6"/>
    </row>
    <row r="51" spans="2:20">
      <c r="B51" s="228" t="s">
        <v>26</v>
      </c>
      <c r="C51" s="225">
        <f t="shared" si="2"/>
        <v>0</v>
      </c>
      <c r="D51" s="226">
        <f>Analyse!D48</f>
        <v>0</v>
      </c>
      <c r="E51" s="226"/>
      <c r="F51" s="227"/>
      <c r="G51" s="247">
        <f>Analyse!E48</f>
        <v>0</v>
      </c>
      <c r="H51" s="243">
        <f>IF(Analyse!C48&lt;&gt;0,G51/Analyse!C48,0)</f>
        <v>0</v>
      </c>
      <c r="I51" s="248">
        <f t="shared" si="1"/>
        <v>0</v>
      </c>
      <c r="K51" s="243"/>
      <c r="N51" s="7"/>
      <c r="O51" s="4"/>
      <c r="P51" s="4"/>
      <c r="Q51" s="4"/>
      <c r="R51" s="4"/>
      <c r="S51" s="4"/>
      <c r="T51" s="6"/>
    </row>
    <row r="52" spans="2:20">
      <c r="B52" s="228" t="s">
        <v>27</v>
      </c>
      <c r="C52" s="225">
        <f t="shared" si="2"/>
        <v>0</v>
      </c>
      <c r="D52" s="226">
        <f>Analyse!D49</f>
        <v>0</v>
      </c>
      <c r="E52" s="226"/>
      <c r="F52" s="227"/>
      <c r="G52" s="247">
        <f>Analyse!E49</f>
        <v>0</v>
      </c>
      <c r="H52" s="243">
        <f>IF(Analyse!C49&lt;&gt;0,G52/Analyse!C49,0)</f>
        <v>0</v>
      </c>
      <c r="I52" s="248">
        <f t="shared" si="1"/>
        <v>0</v>
      </c>
      <c r="K52" s="243"/>
    </row>
    <row r="53" spans="2:20">
      <c r="B53" s="228" t="s">
        <v>28</v>
      </c>
      <c r="C53" s="225">
        <f t="shared" si="2"/>
        <v>0</v>
      </c>
      <c r="D53" s="226">
        <f>Analyse!D50</f>
        <v>0</v>
      </c>
      <c r="E53" s="226"/>
      <c r="F53" s="227"/>
      <c r="G53" s="247">
        <f>Analyse!E50</f>
        <v>0</v>
      </c>
      <c r="H53" s="243">
        <f>IF(Analyse!C50&lt;&gt;0,G53/Analyse!C50,0)</f>
        <v>0</v>
      </c>
      <c r="I53" s="248">
        <f t="shared" si="1"/>
        <v>0</v>
      </c>
      <c r="K53" s="243"/>
    </row>
    <row r="54" spans="2:20">
      <c r="B54" s="228" t="s">
        <v>29</v>
      </c>
      <c r="C54" s="225">
        <f t="shared" si="2"/>
        <v>0</v>
      </c>
      <c r="D54" s="226">
        <f>Analyse!D51</f>
        <v>0</v>
      </c>
      <c r="E54" s="226"/>
      <c r="F54" s="227"/>
      <c r="G54" s="247">
        <f>Analyse!E51</f>
        <v>0</v>
      </c>
      <c r="H54" s="243">
        <f>IF(Analyse!C51&lt;&gt;0,G54/Analyse!C51,0)</f>
        <v>0</v>
      </c>
      <c r="I54" s="248">
        <f t="shared" si="1"/>
        <v>0</v>
      </c>
      <c r="K54" s="243"/>
    </row>
    <row r="55" spans="2:20">
      <c r="B55" s="228" t="s">
        <v>30</v>
      </c>
      <c r="C55" s="225">
        <f t="shared" si="2"/>
        <v>0</v>
      </c>
      <c r="D55" s="226">
        <f>Analyse!D52</f>
        <v>0</v>
      </c>
      <c r="E55" s="226"/>
      <c r="F55" s="227"/>
      <c r="G55" s="247">
        <f>Analyse!E52</f>
        <v>0</v>
      </c>
      <c r="H55" s="243">
        <f>IF(Analyse!C52&lt;&gt;0,G55/Analyse!C52,0)</f>
        <v>0</v>
      </c>
      <c r="I55" s="248">
        <f t="shared" si="1"/>
        <v>0</v>
      </c>
      <c r="K55" s="243"/>
    </row>
    <row r="56" spans="2:20">
      <c r="B56" s="228" t="s">
        <v>31</v>
      </c>
      <c r="C56" s="225">
        <f t="shared" si="2"/>
        <v>0</v>
      </c>
      <c r="D56" s="226">
        <f>Analyse!D53</f>
        <v>0</v>
      </c>
      <c r="E56" s="226"/>
      <c r="F56" s="227"/>
      <c r="G56" s="247">
        <f>Analyse!E53</f>
        <v>0</v>
      </c>
      <c r="H56" s="243">
        <f>IF(Analyse!C53&lt;&gt;0,G56/Analyse!C53,0)</f>
        <v>0</v>
      </c>
      <c r="I56" s="248">
        <f t="shared" si="1"/>
        <v>0</v>
      </c>
      <c r="K56" s="243"/>
    </row>
    <row r="57" spans="2:20">
      <c r="B57" s="228" t="s">
        <v>32</v>
      </c>
      <c r="C57" s="225">
        <f t="shared" si="2"/>
        <v>0</v>
      </c>
      <c r="D57" s="226">
        <f>Analyse!D54</f>
        <v>0</v>
      </c>
      <c r="E57" s="226"/>
      <c r="F57" s="227"/>
      <c r="G57" s="247">
        <f>Analyse!E54</f>
        <v>0</v>
      </c>
      <c r="H57" s="243">
        <f>IF(Analyse!C54&lt;&gt;0,G57/Analyse!C54,0)</f>
        <v>0</v>
      </c>
      <c r="I57" s="248">
        <f t="shared" si="1"/>
        <v>0</v>
      </c>
      <c r="K57" s="243"/>
    </row>
    <row r="58" spans="2:20">
      <c r="B58" s="228" t="s">
        <v>33</v>
      </c>
      <c r="C58" s="225">
        <f t="shared" si="2"/>
        <v>0</v>
      </c>
      <c r="D58" s="226">
        <f>Analyse!D55</f>
        <v>0</v>
      </c>
      <c r="E58" s="226"/>
      <c r="F58" s="227"/>
      <c r="G58" s="247">
        <f>Analyse!E55</f>
        <v>0</v>
      </c>
      <c r="H58" s="243">
        <f>IF(Analyse!C55&lt;&gt;0,G58/Analyse!C55,0)</f>
        <v>0</v>
      </c>
      <c r="I58" s="248">
        <f t="shared" si="1"/>
        <v>0</v>
      </c>
      <c r="K58" s="243"/>
    </row>
    <row r="59" spans="2:20">
      <c r="B59" s="228" t="s">
        <v>34</v>
      </c>
      <c r="C59" s="225">
        <f t="shared" si="2"/>
        <v>0</v>
      </c>
      <c r="D59" s="226">
        <f>Analyse!D56</f>
        <v>0</v>
      </c>
      <c r="E59" s="226"/>
      <c r="F59" s="227"/>
      <c r="G59" s="247">
        <f>Analyse!E56</f>
        <v>0</v>
      </c>
      <c r="H59" s="243">
        <f>IF(Analyse!C56&lt;&gt;0,G59/Analyse!C56,0)</f>
        <v>0</v>
      </c>
      <c r="I59" s="248">
        <f t="shared" si="1"/>
        <v>0</v>
      </c>
      <c r="K59" s="243"/>
    </row>
    <row r="60" spans="2:20">
      <c r="B60" s="228" t="s">
        <v>35</v>
      </c>
      <c r="C60" s="225">
        <f t="shared" si="2"/>
        <v>0</v>
      </c>
      <c r="D60" s="226">
        <f>Analyse!D57</f>
        <v>0</v>
      </c>
      <c r="E60" s="226"/>
      <c r="F60" s="227"/>
      <c r="G60" s="247">
        <f>Analyse!E57</f>
        <v>0</v>
      </c>
      <c r="H60" s="243">
        <f>IF(Analyse!C57&lt;&gt;0,G60/Analyse!C57,0)</f>
        <v>0</v>
      </c>
      <c r="I60" s="248">
        <f t="shared" si="1"/>
        <v>0</v>
      </c>
      <c r="K60" s="243"/>
    </row>
    <row r="61" spans="2:20">
      <c r="B61" s="228" t="s">
        <v>36</v>
      </c>
      <c r="C61" s="225">
        <f t="shared" si="2"/>
        <v>0</v>
      </c>
      <c r="D61" s="226">
        <f>Analyse!D58</f>
        <v>0</v>
      </c>
      <c r="E61" s="226"/>
      <c r="F61" s="227"/>
      <c r="G61" s="247">
        <f>Analyse!E58</f>
        <v>0</v>
      </c>
      <c r="H61" s="243">
        <f>IF(Analyse!C58&lt;&gt;0,G61/Analyse!C58,0)</f>
        <v>0</v>
      </c>
      <c r="I61" s="248">
        <f t="shared" si="1"/>
        <v>0</v>
      </c>
      <c r="K61" s="243"/>
    </row>
    <row r="62" spans="2:20">
      <c r="B62" s="228" t="s">
        <v>37</v>
      </c>
      <c r="C62" s="225">
        <f t="shared" si="2"/>
        <v>0</v>
      </c>
      <c r="D62" s="226">
        <f>Analyse!D59</f>
        <v>0</v>
      </c>
      <c r="E62" s="226"/>
      <c r="F62" s="227"/>
      <c r="G62" s="247">
        <f>Analyse!E59</f>
        <v>0</v>
      </c>
      <c r="H62" s="243">
        <f>IF(Analyse!C59&lt;&gt;0,G62/Analyse!C59,0)</f>
        <v>0</v>
      </c>
      <c r="I62" s="248">
        <f t="shared" si="1"/>
        <v>0</v>
      </c>
      <c r="K62" s="243"/>
    </row>
    <row r="63" spans="2:20">
      <c r="B63" s="228" t="s">
        <v>38</v>
      </c>
      <c r="C63" s="225">
        <f t="shared" si="2"/>
        <v>0</v>
      </c>
      <c r="D63" s="226">
        <f>Analyse!D60</f>
        <v>0</v>
      </c>
      <c r="E63" s="226"/>
      <c r="F63" s="227"/>
      <c r="G63" s="247">
        <f>Analyse!E60</f>
        <v>0</v>
      </c>
      <c r="H63" s="243">
        <f>IF(Analyse!C60&lt;&gt;0,G63/Analyse!C60,0)</f>
        <v>0</v>
      </c>
      <c r="I63" s="248">
        <f t="shared" si="1"/>
        <v>0</v>
      </c>
      <c r="K63" s="243"/>
    </row>
    <row r="64" spans="2:20">
      <c r="B64" s="228" t="s">
        <v>39</v>
      </c>
      <c r="C64" s="225">
        <f t="shared" si="2"/>
        <v>0</v>
      </c>
      <c r="D64" s="226">
        <f>Analyse!D61</f>
        <v>0</v>
      </c>
      <c r="E64" s="226"/>
      <c r="F64" s="227"/>
      <c r="G64" s="247">
        <f>Analyse!E61</f>
        <v>0</v>
      </c>
      <c r="H64" s="243">
        <f>IF(Analyse!C61&lt;&gt;0,G64/Analyse!C61,0)</f>
        <v>0</v>
      </c>
      <c r="I64" s="248">
        <f t="shared" si="1"/>
        <v>0</v>
      </c>
      <c r="K64" s="243"/>
    </row>
    <row r="65" spans="2:15">
      <c r="B65" s="228" t="s">
        <v>80</v>
      </c>
      <c r="C65" s="225">
        <f t="shared" si="2"/>
        <v>0</v>
      </c>
      <c r="D65" s="226">
        <f>Analyse!D62</f>
        <v>0</v>
      </c>
      <c r="E65" s="226"/>
      <c r="F65" s="227"/>
      <c r="G65" s="247">
        <f>Analyse!E62</f>
        <v>0</v>
      </c>
      <c r="H65" s="243">
        <f>IF(Analyse!C62&lt;&gt;0,G65/Analyse!C62,0)</f>
        <v>0</v>
      </c>
      <c r="I65" s="248">
        <f t="shared" si="1"/>
        <v>0</v>
      </c>
      <c r="K65" s="243"/>
      <c r="L65" s="4"/>
      <c r="M65" s="4"/>
      <c r="N65" s="8"/>
    </row>
    <row r="66" spans="2:15">
      <c r="B66" s="228" t="s">
        <v>81</v>
      </c>
      <c r="C66" s="225">
        <f t="shared" si="2"/>
        <v>0</v>
      </c>
      <c r="D66" s="226">
        <f>Analyse!D63</f>
        <v>0</v>
      </c>
      <c r="E66" s="226"/>
      <c r="F66" s="227"/>
      <c r="G66" s="247">
        <f>Analyse!E63</f>
        <v>0</v>
      </c>
      <c r="H66" s="243">
        <f>IF(Analyse!C63&lt;&gt;0,G66/Analyse!C63,0)</f>
        <v>0</v>
      </c>
      <c r="I66" s="248">
        <f t="shared" si="1"/>
        <v>0</v>
      </c>
      <c r="K66" s="243"/>
      <c r="L66" s="4"/>
      <c r="N66" s="4"/>
      <c r="O66" s="8"/>
    </row>
    <row r="67" spans="2:15">
      <c r="B67" s="228" t="s">
        <v>82</v>
      </c>
      <c r="C67" s="225">
        <f t="shared" si="2"/>
        <v>0</v>
      </c>
      <c r="D67" s="226">
        <f>Analyse!D64</f>
        <v>0</v>
      </c>
      <c r="E67" s="226"/>
      <c r="F67" s="227"/>
      <c r="G67" s="247">
        <f>Analyse!E64</f>
        <v>0</v>
      </c>
      <c r="H67" s="243">
        <f>IF(Analyse!C64&lt;&gt;0,G67/Analyse!C64,0)</f>
        <v>0</v>
      </c>
      <c r="I67" s="248">
        <f t="shared" si="1"/>
        <v>0</v>
      </c>
      <c r="K67" s="243"/>
      <c r="L67" s="4"/>
      <c r="N67" s="4"/>
      <c r="O67" s="8"/>
    </row>
    <row r="68" spans="2:15">
      <c r="B68" s="228" t="s">
        <v>83</v>
      </c>
      <c r="C68" s="225">
        <f t="shared" si="2"/>
        <v>0</v>
      </c>
      <c r="D68" s="226">
        <f>Analyse!D65</f>
        <v>0</v>
      </c>
      <c r="E68" s="226"/>
      <c r="F68" s="227"/>
      <c r="G68" s="247">
        <f>Analyse!E65</f>
        <v>0</v>
      </c>
      <c r="H68" s="243">
        <f>IF(Analyse!C65&lt;&gt;0,G68/Analyse!C65,0)</f>
        <v>0</v>
      </c>
      <c r="I68" s="248">
        <f t="shared" si="1"/>
        <v>0</v>
      </c>
      <c r="K68" s="243"/>
      <c r="L68" s="4"/>
      <c r="N68" s="4"/>
      <c r="O68" s="8"/>
    </row>
    <row r="69" spans="2:15">
      <c r="B69" s="228" t="s">
        <v>84</v>
      </c>
      <c r="C69" s="225">
        <f t="shared" si="2"/>
        <v>0</v>
      </c>
      <c r="D69" s="226">
        <f>Analyse!D66</f>
        <v>0</v>
      </c>
      <c r="E69" s="226"/>
      <c r="F69" s="227"/>
      <c r="G69" s="247">
        <f>Analyse!E66</f>
        <v>0</v>
      </c>
      <c r="H69" s="243">
        <f>IF(Analyse!C66&lt;&gt;0,G69/Analyse!C66,0)</f>
        <v>0</v>
      </c>
      <c r="I69" s="248">
        <f t="shared" si="1"/>
        <v>0</v>
      </c>
      <c r="K69" s="243"/>
      <c r="L69" s="4"/>
      <c r="N69" s="4"/>
      <c r="O69" s="8"/>
    </row>
    <row r="70" spans="2:15">
      <c r="B70" s="228" t="s">
        <v>85</v>
      </c>
      <c r="C70" s="225">
        <f t="shared" si="2"/>
        <v>0</v>
      </c>
      <c r="D70" s="226">
        <f>Analyse!D67</f>
        <v>0</v>
      </c>
      <c r="E70" s="226"/>
      <c r="F70" s="227"/>
      <c r="G70" s="247">
        <f>Analyse!E67</f>
        <v>0</v>
      </c>
      <c r="H70" s="243">
        <f>IF(Analyse!C67&lt;&gt;0,G70/Analyse!C67,0)</f>
        <v>0</v>
      </c>
      <c r="I70" s="248">
        <f t="shared" si="1"/>
        <v>0</v>
      </c>
      <c r="K70" s="243"/>
      <c r="L70" s="4"/>
      <c r="N70" s="4"/>
      <c r="O70" s="8"/>
    </row>
    <row r="71" spans="2:15" ht="15.75" thickBot="1">
      <c r="B71" s="229" t="s">
        <v>86</v>
      </c>
      <c r="C71" s="225">
        <f t="shared" si="2"/>
        <v>0</v>
      </c>
      <c r="D71" s="226">
        <f>Analyse!D68</f>
        <v>0</v>
      </c>
      <c r="E71" s="226"/>
      <c r="F71" s="227"/>
      <c r="G71" s="247">
        <f>Analyse!E68</f>
        <v>0</v>
      </c>
      <c r="H71" s="250">
        <f>IF(Analyse!C68&lt;&gt;0,G71/Analyse!C68,0)</f>
        <v>0</v>
      </c>
      <c r="I71" s="249">
        <f t="shared" si="1"/>
        <v>0</v>
      </c>
      <c r="K71" s="243"/>
      <c r="L71" s="4"/>
      <c r="N71" s="4"/>
      <c r="O71" s="8"/>
    </row>
    <row r="72" spans="2:15" ht="15.75" thickBot="1">
      <c r="B72" s="230" t="s">
        <v>43</v>
      </c>
      <c r="C72" s="231">
        <f>SUM(C47:C64)</f>
        <v>0</v>
      </c>
      <c r="D72" s="232">
        <f>SUM(D47:D64)</f>
        <v>0</v>
      </c>
      <c r="E72" s="232">
        <f>SUM(E47:E64)</f>
        <v>0</v>
      </c>
      <c r="F72" s="106"/>
      <c r="G72" s="251">
        <f>SUM(G47:G71)</f>
        <v>0</v>
      </c>
      <c r="H72" s="252"/>
      <c r="I72" s="253">
        <f t="shared" si="1"/>
        <v>0</v>
      </c>
      <c r="K72" s="243"/>
    </row>
    <row r="73" spans="2:15">
      <c r="B73" s="9"/>
      <c r="C73" s="100"/>
      <c r="D73" s="100"/>
      <c r="E73" s="100"/>
      <c r="F73" s="100"/>
      <c r="G73" s="100"/>
      <c r="H73" s="100"/>
      <c r="I73" s="100"/>
      <c r="J73" s="83"/>
      <c r="K73" s="60"/>
      <c r="L73" s="60"/>
      <c r="N73" s="3"/>
    </row>
  </sheetData>
  <sheetProtection sheet="1" objects="1" scenarios="1" selectLockedCells="1"/>
  <sortState ref="U12:U21">
    <sortCondition descending="1" ref="U12"/>
  </sortState>
  <conditionalFormatting sqref="J31">
    <cfRule type="colorScale" priority="5">
      <colorScale>
        <cfvo type="num" val="#REF!"/>
        <cfvo type="num" val="#REF!"/>
        <cfvo type="num" val="#REF!"/>
        <color theme="4"/>
        <color rgb="FFFFEB84"/>
        <color rgb="FFFF0000"/>
      </colorScale>
    </cfRule>
  </conditionalFormatting>
  <conditionalFormatting sqref="E46:G46">
    <cfRule type="cellIs" dxfId="0" priority="4" operator="lessThan">
      <formula>1</formula>
    </cfRule>
  </conditionalFormatting>
  <pageMargins left="0.7" right="0.7" top="0.78740157499999996" bottom="0.78740157499999996" header="0.3" footer="0.3"/>
  <pageSetup paperSize="9" orientation="landscape" r:id="rId1"/>
  <ignoredErrors>
    <ignoredError sqref="B47:B49 B52 B50:B51 B53 B54:B71"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Analyse</vt:lpstr>
      <vt:lpstr>Arbeitslisten</vt:lpstr>
      <vt:lpstr>Brennstofftyp</vt:lpstr>
      <vt:lpstr>Haustyp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MNRPraktikant</dc:creator>
  <cp:lastModifiedBy>Markus Büchner</cp:lastModifiedBy>
  <cp:lastPrinted>2012-04-11T13:14:16Z</cp:lastPrinted>
  <dcterms:created xsi:type="dcterms:W3CDTF">2011-06-01T09:02:34Z</dcterms:created>
  <dcterms:modified xsi:type="dcterms:W3CDTF">2012-11-06T10:32:11Z</dcterms:modified>
</cp:coreProperties>
</file>